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bmaja\Documents\Moji dokumenti\PLANOVI\"/>
    </mc:Choice>
  </mc:AlternateContent>
  <workbookProtection workbookPassword="DE31" lockStructure="1"/>
  <bookViews>
    <workbookView xWindow="0" yWindow="0" windowWidth="28800" windowHeight="1200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L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H50" i="14" l="1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L108" i="14"/>
  <c r="J108" i="14"/>
  <c r="E108" i="14"/>
  <c r="N107" i="14"/>
  <c r="L107" i="14"/>
  <c r="J107" i="14"/>
  <c r="E107" i="14"/>
  <c r="N105" i="14"/>
  <c r="L105" i="14"/>
  <c r="J105" i="14"/>
  <c r="E105" i="14"/>
  <c r="N104" i="14"/>
  <c r="L104" i="14"/>
  <c r="J104" i="14"/>
  <c r="E104" i="14"/>
  <c r="N103" i="14"/>
  <c r="L103" i="14"/>
  <c r="J103" i="14"/>
  <c r="E103" i="14"/>
  <c r="N102" i="14"/>
  <c r="L102" i="14"/>
  <c r="J102" i="14"/>
  <c r="E102" i="14"/>
  <c r="N101" i="14"/>
  <c r="L101" i="14"/>
  <c r="J101" i="14"/>
  <c r="E101" i="14"/>
  <c r="N99" i="14"/>
  <c r="L99" i="14"/>
  <c r="J99" i="14"/>
  <c r="E99" i="14"/>
  <c r="N98" i="14"/>
  <c r="L98" i="14"/>
  <c r="J98" i="14"/>
  <c r="E98" i="14"/>
  <c r="N97" i="14"/>
  <c r="L97" i="14"/>
  <c r="J97" i="14"/>
  <c r="E97" i="14"/>
  <c r="N96" i="14"/>
  <c r="L96" i="14"/>
  <c r="J96" i="14"/>
  <c r="E96" i="14"/>
  <c r="N95" i="14"/>
  <c r="L95" i="14"/>
  <c r="J95" i="14"/>
  <c r="E95" i="14"/>
  <c r="N94" i="14"/>
  <c r="L94" i="14"/>
  <c r="J94" i="14"/>
  <c r="E94" i="14"/>
  <c r="N93" i="14"/>
  <c r="L93" i="14"/>
  <c r="J93" i="14"/>
  <c r="E93" i="14"/>
  <c r="E81" i="14"/>
  <c r="J81" i="14"/>
  <c r="L81" i="14"/>
  <c r="N81" i="14"/>
  <c r="E82" i="14"/>
  <c r="J82" i="14"/>
  <c r="L82" i="14"/>
  <c r="N82" i="14"/>
  <c r="E83" i="14"/>
  <c r="J83" i="14"/>
  <c r="L83" i="14"/>
  <c r="N83" i="14"/>
  <c r="E84" i="14"/>
  <c r="J84" i="14"/>
  <c r="L84" i="14"/>
  <c r="N84" i="14"/>
  <c r="E85" i="14"/>
  <c r="J85" i="14"/>
  <c r="L85" i="14"/>
  <c r="N85" i="14"/>
  <c r="E87" i="14"/>
  <c r="J87" i="14"/>
  <c r="L87" i="14"/>
  <c r="N87" i="14"/>
  <c r="N88" i="14"/>
  <c r="L88" i="14"/>
  <c r="J88" i="14"/>
  <c r="E88" i="14"/>
  <c r="N79" i="14"/>
  <c r="L79" i="14"/>
  <c r="J79" i="14"/>
  <c r="E79" i="14"/>
  <c r="N78" i="14"/>
  <c r="L78" i="14"/>
  <c r="J78" i="14"/>
  <c r="E78" i="14"/>
  <c r="N77" i="14"/>
  <c r="L77" i="14"/>
  <c r="J77" i="14"/>
  <c r="E77" i="14"/>
  <c r="N76" i="14"/>
  <c r="L76" i="14"/>
  <c r="J76" i="14"/>
  <c r="E76" i="14"/>
  <c r="N75" i="14"/>
  <c r="L75" i="14"/>
  <c r="J75" i="14"/>
  <c r="E75" i="14"/>
  <c r="N74" i="14"/>
  <c r="L74" i="14"/>
  <c r="J74" i="14"/>
  <c r="E74" i="14"/>
  <c r="N73" i="14"/>
  <c r="L73" i="14"/>
  <c r="J73" i="14"/>
  <c r="E73" i="14"/>
  <c r="E86" i="14" l="1"/>
  <c r="P86" i="14"/>
  <c r="L86" i="14"/>
  <c r="N86" i="14"/>
  <c r="J86" i="14"/>
  <c r="N68" i="14"/>
  <c r="L68" i="14"/>
  <c r="J68" i="14"/>
  <c r="H68" i="14"/>
  <c r="E68" i="14"/>
  <c r="N67" i="14"/>
  <c r="L67" i="14"/>
  <c r="J67" i="14"/>
  <c r="H67" i="14"/>
  <c r="E67" i="14"/>
  <c r="N66" i="14"/>
  <c r="L66" i="14"/>
  <c r="J66" i="14"/>
  <c r="H66" i="14"/>
  <c r="E66" i="14"/>
  <c r="N65" i="14"/>
  <c r="L65" i="14"/>
  <c r="J65" i="14"/>
  <c r="H65" i="14"/>
  <c r="E65" i="14"/>
  <c r="N64" i="14"/>
  <c r="L64" i="14"/>
  <c r="J64" i="14"/>
  <c r="H64" i="14"/>
  <c r="E64" i="14"/>
  <c r="N62" i="14"/>
  <c r="L62" i="14"/>
  <c r="J62" i="14"/>
  <c r="H62" i="14"/>
  <c r="E62" i="14"/>
  <c r="N61" i="14"/>
  <c r="L61" i="14"/>
  <c r="J61" i="14"/>
  <c r="H61" i="14"/>
  <c r="E61" i="14"/>
  <c r="N60" i="14"/>
  <c r="L60" i="14"/>
  <c r="J60" i="14"/>
  <c r="H60" i="14"/>
  <c r="E60" i="14"/>
  <c r="N57" i="14"/>
  <c r="L57" i="14"/>
  <c r="J57" i="14"/>
  <c r="H57" i="14"/>
  <c r="E57" i="14"/>
  <c r="N56" i="14"/>
  <c r="L56" i="14"/>
  <c r="J56" i="14"/>
  <c r="H56" i="14"/>
  <c r="E56" i="14"/>
  <c r="N55" i="14"/>
  <c r="L55" i="14"/>
  <c r="J55" i="14"/>
  <c r="H55" i="14"/>
  <c r="E55" i="14"/>
  <c r="N54" i="14"/>
  <c r="L54" i="14"/>
  <c r="J54" i="14"/>
  <c r="H54" i="14"/>
  <c r="E54" i="14"/>
  <c r="N52" i="14"/>
  <c r="L52" i="14"/>
  <c r="J52" i="14"/>
  <c r="H52" i="14"/>
  <c r="E52" i="14"/>
  <c r="N48" i="14"/>
  <c r="L48" i="14"/>
  <c r="J48" i="14"/>
  <c r="H48" i="14"/>
  <c r="E48" i="14"/>
  <c r="N47" i="14"/>
  <c r="L47" i="14"/>
  <c r="J47" i="14"/>
  <c r="H47" i="14"/>
  <c r="E47" i="14"/>
  <c r="N46" i="14"/>
  <c r="L46" i="14"/>
  <c r="J46" i="14"/>
  <c r="H46" i="14"/>
  <c r="E46" i="14"/>
  <c r="N45" i="14"/>
  <c r="L45" i="14"/>
  <c r="J45" i="14"/>
  <c r="H45" i="14"/>
  <c r="E45" i="14"/>
  <c r="N44" i="14"/>
  <c r="L44" i="14"/>
  <c r="J44" i="14"/>
  <c r="H44" i="14"/>
  <c r="E44" i="14"/>
  <c r="N43" i="14"/>
  <c r="L43" i="14"/>
  <c r="J43" i="14"/>
  <c r="H43" i="14"/>
  <c r="E43" i="14"/>
  <c r="N41" i="14"/>
  <c r="L41" i="14"/>
  <c r="J41" i="14"/>
  <c r="H41" i="14"/>
  <c r="E41" i="14"/>
  <c r="N40" i="14"/>
  <c r="L40" i="14"/>
  <c r="J40" i="14"/>
  <c r="H40" i="14"/>
  <c r="E40" i="14"/>
  <c r="H59" i="14" l="1"/>
  <c r="L59" i="14"/>
  <c r="H63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L37" i="14"/>
  <c r="J37" i="14"/>
  <c r="H37" i="14"/>
  <c r="E37" i="14"/>
  <c r="N36" i="14"/>
  <c r="L36" i="14"/>
  <c r="J36" i="14"/>
  <c r="H36" i="14"/>
  <c r="E36" i="14"/>
  <c r="N35" i="14"/>
  <c r="L35" i="14"/>
  <c r="J35" i="14"/>
  <c r="H35" i="14"/>
  <c r="E35" i="14"/>
  <c r="N34" i="14"/>
  <c r="L34" i="14"/>
  <c r="J34" i="14"/>
  <c r="H34" i="14"/>
  <c r="E34" i="14"/>
  <c r="N32" i="14"/>
  <c r="L32" i="14"/>
  <c r="J32" i="14"/>
  <c r="H32" i="14"/>
  <c r="E32" i="14"/>
  <c r="N31" i="14"/>
  <c r="L31" i="14"/>
  <c r="J31" i="14"/>
  <c r="H31" i="14"/>
  <c r="E31" i="14"/>
  <c r="N29" i="14"/>
  <c r="L29" i="14"/>
  <c r="J29" i="14"/>
  <c r="H29" i="14"/>
  <c r="E29" i="14"/>
  <c r="N28" i="14"/>
  <c r="L28" i="14"/>
  <c r="J28" i="14"/>
  <c r="H28" i="14"/>
  <c r="E28" i="14"/>
  <c r="N27" i="14"/>
  <c r="L27" i="14"/>
  <c r="J27" i="14"/>
  <c r="H27" i="14"/>
  <c r="E27" i="14"/>
  <c r="N26" i="14"/>
  <c r="L26" i="14"/>
  <c r="J26" i="14"/>
  <c r="H26" i="14"/>
  <c r="E26" i="14"/>
  <c r="N25" i="14"/>
  <c r="L25" i="14"/>
  <c r="J25" i="14"/>
  <c r="H25" i="14"/>
  <c r="E25" i="14"/>
  <c r="N24" i="14"/>
  <c r="L24" i="14"/>
  <c r="J24" i="14"/>
  <c r="H24" i="14"/>
  <c r="E24" i="14"/>
  <c r="N22" i="14"/>
  <c r="L22" i="14"/>
  <c r="J22" i="14"/>
  <c r="H22" i="14"/>
  <c r="E22" i="14"/>
  <c r="N21" i="14"/>
  <c r="L21" i="14"/>
  <c r="J21" i="14"/>
  <c r="H21" i="14"/>
  <c r="E21" i="14"/>
  <c r="N20" i="14"/>
  <c r="L20" i="14"/>
  <c r="J20" i="14"/>
  <c r="H20" i="14"/>
  <c r="E20" i="14"/>
  <c r="N18" i="14"/>
  <c r="L18" i="14"/>
  <c r="J18" i="14"/>
  <c r="H18" i="14"/>
  <c r="E18" i="14"/>
  <c r="N17" i="14"/>
  <c r="L17" i="14"/>
  <c r="J17" i="14"/>
  <c r="H17" i="14"/>
  <c r="E17" i="14"/>
  <c r="N16" i="14"/>
  <c r="L16" i="14"/>
  <c r="J16" i="14"/>
  <c r="H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D6" i="14" s="1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M7" i="14" s="1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O13" i="14" s="1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N14" i="14"/>
  <c r="L14" i="14"/>
  <c r="J14" i="14"/>
  <c r="I14" i="14"/>
  <c r="H14" i="14"/>
  <c r="N13" i="14"/>
  <c r="J13" i="14"/>
  <c r="I13" i="14"/>
  <c r="H13" i="14"/>
  <c r="E13" i="14"/>
  <c r="O12" i="14"/>
  <c r="N12" i="14"/>
  <c r="J12" i="14"/>
  <c r="I12" i="14"/>
  <c r="H12" i="14"/>
  <c r="F12" i="14"/>
  <c r="O11" i="14"/>
  <c r="N11" i="14"/>
  <c r="L11" i="14"/>
  <c r="J11" i="14"/>
  <c r="I11" i="14"/>
  <c r="H11" i="14"/>
  <c r="F11" i="14"/>
  <c r="E11" i="14"/>
  <c r="O10" i="14"/>
  <c r="N10" i="14"/>
  <c r="M10" i="14"/>
  <c r="L10" i="14"/>
  <c r="J10" i="14"/>
  <c r="I10" i="14"/>
  <c r="H10" i="14"/>
  <c r="F10" i="14"/>
  <c r="O8" i="14"/>
  <c r="N8" i="14"/>
  <c r="J8" i="14"/>
  <c r="I8" i="14"/>
  <c r="H8" i="14"/>
  <c r="F8" i="14"/>
  <c r="E8" i="14"/>
  <c r="O7" i="14"/>
  <c r="N7" i="14"/>
  <c r="J7" i="14"/>
  <c r="I7" i="14"/>
  <c r="H7" i="14"/>
  <c r="F7" i="14"/>
  <c r="O6" i="14"/>
  <c r="N6" i="14"/>
  <c r="L6" i="14"/>
  <c r="J6" i="14"/>
  <c r="I6" i="14"/>
  <c r="H6" i="14"/>
  <c r="F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8" i="14" l="1"/>
  <c r="K11" i="14"/>
  <c r="K12" i="14"/>
  <c r="K10" i="14"/>
  <c r="K6" i="14"/>
  <c r="K7" i="14"/>
  <c r="K14" i="14"/>
  <c r="I36" i="14"/>
  <c r="O14" i="14"/>
  <c r="O104" i="14"/>
  <c r="O99" i="14"/>
  <c r="O95" i="14"/>
  <c r="O82" i="14"/>
  <c r="O87" i="14"/>
  <c r="O77" i="14"/>
  <c r="O108" i="14"/>
  <c r="O103" i="14"/>
  <c r="O98" i="14"/>
  <c r="O94" i="14"/>
  <c r="O83" i="14"/>
  <c r="O88" i="14"/>
  <c r="O76" i="14"/>
  <c r="O107" i="14"/>
  <c r="O102" i="14"/>
  <c r="O97" i="14"/>
  <c r="O93" i="14"/>
  <c r="O84" i="14"/>
  <c r="O79" i="14"/>
  <c r="O75" i="14"/>
  <c r="O105" i="14"/>
  <c r="O101" i="14"/>
  <c r="O96" i="14"/>
  <c r="O81" i="14"/>
  <c r="O85" i="14"/>
  <c r="O78" i="14"/>
  <c r="O74" i="14"/>
  <c r="O73" i="14"/>
  <c r="O50" i="14"/>
  <c r="O67" i="14"/>
  <c r="O65" i="14"/>
  <c r="O62" i="14"/>
  <c r="O60" i="14"/>
  <c r="O56" i="14"/>
  <c r="O54" i="14"/>
  <c r="O48" i="14"/>
  <c r="O46" i="14"/>
  <c r="O44" i="14"/>
  <c r="O41" i="14"/>
  <c r="O68" i="14"/>
  <c r="O66" i="14"/>
  <c r="O64" i="14"/>
  <c r="O61" i="14"/>
  <c r="O57" i="14"/>
  <c r="O55" i="14"/>
  <c r="O52" i="14"/>
  <c r="O47" i="14"/>
  <c r="O45" i="14"/>
  <c r="O43" i="14"/>
  <c r="O40" i="14"/>
  <c r="O16" i="14"/>
  <c r="O18" i="14"/>
  <c r="O21" i="14"/>
  <c r="O24" i="14"/>
  <c r="O26" i="14"/>
  <c r="O28" i="14"/>
  <c r="O31" i="14"/>
  <c r="O34" i="14"/>
  <c r="O36" i="14"/>
  <c r="O17" i="14"/>
  <c r="O20" i="14"/>
  <c r="O22" i="14"/>
  <c r="O25" i="14"/>
  <c r="O27" i="14"/>
  <c r="O29" i="14"/>
  <c r="O32" i="14"/>
  <c r="O35" i="14"/>
  <c r="O37" i="14"/>
  <c r="M11" i="14"/>
  <c r="M12" i="14"/>
  <c r="M6" i="14"/>
  <c r="M13" i="14"/>
  <c r="M8" i="14"/>
  <c r="M34" i="14"/>
  <c r="M81" i="14"/>
  <c r="M83" i="14"/>
  <c r="M85" i="14"/>
  <c r="M107" i="14"/>
  <c r="M104" i="14"/>
  <c r="M102" i="14"/>
  <c r="M99" i="14"/>
  <c r="M97" i="14"/>
  <c r="M95" i="14"/>
  <c r="M93" i="14"/>
  <c r="M79" i="14"/>
  <c r="M77" i="14"/>
  <c r="M75" i="14"/>
  <c r="M73" i="14"/>
  <c r="M82" i="14"/>
  <c r="M84" i="14"/>
  <c r="M87" i="14"/>
  <c r="M108" i="14"/>
  <c r="M105" i="14"/>
  <c r="M103" i="14"/>
  <c r="M101" i="14"/>
  <c r="M98" i="14"/>
  <c r="M96" i="14"/>
  <c r="M94" i="14"/>
  <c r="M88" i="14"/>
  <c r="M78" i="14"/>
  <c r="M76" i="14"/>
  <c r="M74" i="14"/>
  <c r="M18" i="14"/>
  <c r="M24" i="14"/>
  <c r="M28" i="14"/>
  <c r="M50" i="14"/>
  <c r="M67" i="14"/>
  <c r="M62" i="14"/>
  <c r="M56" i="14"/>
  <c r="M48" i="14"/>
  <c r="M44" i="14"/>
  <c r="M68" i="14"/>
  <c r="M64" i="14"/>
  <c r="M57" i="14"/>
  <c r="M52" i="14"/>
  <c r="M45" i="14"/>
  <c r="M40" i="14"/>
  <c r="M65" i="14"/>
  <c r="M60" i="14"/>
  <c r="M54" i="14"/>
  <c r="M46" i="14"/>
  <c r="M41" i="14"/>
  <c r="M66" i="14"/>
  <c r="M61" i="14"/>
  <c r="M55" i="14"/>
  <c r="M47" i="14"/>
  <c r="M43" i="14"/>
  <c r="M17" i="14"/>
  <c r="M22" i="14"/>
  <c r="M27" i="14"/>
  <c r="M32" i="14"/>
  <c r="M37" i="14"/>
  <c r="M14" i="14"/>
  <c r="M16" i="14"/>
  <c r="M21" i="14"/>
  <c r="M26" i="14"/>
  <c r="M31" i="14"/>
  <c r="M36" i="14"/>
  <c r="M20" i="14"/>
  <c r="M25" i="14"/>
  <c r="M29" i="14"/>
  <c r="M35" i="14"/>
  <c r="D28" i="14"/>
  <c r="D7" i="14"/>
  <c r="F13" i="14"/>
  <c r="F14" i="14"/>
  <c r="F36" i="14"/>
  <c r="K13" i="14"/>
  <c r="K36" i="14"/>
  <c r="G105" i="14"/>
  <c r="G101" i="14"/>
  <c r="G96" i="14"/>
  <c r="G81" i="14"/>
  <c r="G85" i="14"/>
  <c r="G78" i="14"/>
  <c r="G107" i="14"/>
  <c r="G102" i="14"/>
  <c r="G97" i="14"/>
  <c r="G93" i="14"/>
  <c r="G84" i="14"/>
  <c r="G79" i="14"/>
  <c r="G75" i="14"/>
  <c r="G108" i="14"/>
  <c r="G103" i="14"/>
  <c r="G98" i="14"/>
  <c r="G94" i="14"/>
  <c r="G83" i="14"/>
  <c r="G88" i="14"/>
  <c r="G76" i="14"/>
  <c r="G104" i="14"/>
  <c r="G99" i="14"/>
  <c r="G95" i="14"/>
  <c r="G82" i="14"/>
  <c r="G87" i="14"/>
  <c r="G77" i="14"/>
  <c r="G73" i="14"/>
  <c r="G74" i="14"/>
  <c r="G50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48" i="14"/>
  <c r="G47" i="14"/>
  <c r="G46" i="14"/>
  <c r="G45" i="14"/>
  <c r="G44" i="14"/>
  <c r="G43" i="14"/>
  <c r="G41" i="14"/>
  <c r="G40" i="14"/>
  <c r="G16" i="14"/>
  <c r="G17" i="14"/>
  <c r="G18" i="14"/>
  <c r="G20" i="14"/>
  <c r="G21" i="14"/>
  <c r="G22" i="14"/>
  <c r="G24" i="14"/>
  <c r="G25" i="14"/>
  <c r="G26" i="14"/>
  <c r="G27" i="14"/>
  <c r="G28" i="14"/>
  <c r="G29" i="14"/>
  <c r="G31" i="14"/>
  <c r="G32" i="14"/>
  <c r="G34" i="14"/>
  <c r="G35" i="14"/>
  <c r="G36" i="14"/>
  <c r="G37" i="14"/>
  <c r="K18" i="14"/>
  <c r="K24" i="14"/>
  <c r="K28" i="14"/>
  <c r="K34" i="14"/>
  <c r="K20" i="14"/>
  <c r="K25" i="14"/>
  <c r="K29" i="14"/>
  <c r="K35" i="14"/>
  <c r="K81" i="14"/>
  <c r="K82" i="14"/>
  <c r="K83" i="14"/>
  <c r="K84" i="14"/>
  <c r="K85" i="14"/>
  <c r="K87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79" i="14"/>
  <c r="K78" i="14"/>
  <c r="K77" i="14"/>
  <c r="K76" i="14"/>
  <c r="K75" i="14"/>
  <c r="K74" i="14"/>
  <c r="K73" i="14"/>
  <c r="K16" i="14"/>
  <c r="K21" i="14"/>
  <c r="K26" i="14"/>
  <c r="K31" i="14"/>
  <c r="K50" i="14"/>
  <c r="K65" i="14"/>
  <c r="K60" i="14"/>
  <c r="K54" i="14"/>
  <c r="K46" i="14"/>
  <c r="K41" i="14"/>
  <c r="K68" i="14"/>
  <c r="K64" i="14"/>
  <c r="K57" i="14"/>
  <c r="K52" i="14"/>
  <c r="K45" i="14"/>
  <c r="K40" i="14"/>
  <c r="K67" i="14"/>
  <c r="K62" i="14"/>
  <c r="K56" i="14"/>
  <c r="K48" i="14"/>
  <c r="K44" i="14"/>
  <c r="K66" i="14"/>
  <c r="K61" i="14"/>
  <c r="K55" i="14"/>
  <c r="K47" i="14"/>
  <c r="K43" i="14"/>
  <c r="K17" i="14"/>
  <c r="K22" i="14"/>
  <c r="K27" i="14"/>
  <c r="K32" i="14"/>
  <c r="K37" i="14"/>
  <c r="F16" i="14"/>
  <c r="F18" i="14"/>
  <c r="F21" i="14"/>
  <c r="F24" i="14"/>
  <c r="F26" i="14"/>
  <c r="F28" i="14"/>
  <c r="F31" i="14"/>
  <c r="F34" i="14"/>
  <c r="F108" i="14"/>
  <c r="F103" i="14"/>
  <c r="F98" i="14"/>
  <c r="F94" i="14"/>
  <c r="F81" i="14"/>
  <c r="F85" i="14"/>
  <c r="F88" i="14"/>
  <c r="F76" i="14"/>
  <c r="F107" i="14"/>
  <c r="F102" i="14"/>
  <c r="F97" i="14"/>
  <c r="F93" i="14"/>
  <c r="F82" i="14"/>
  <c r="F87" i="14"/>
  <c r="F79" i="14"/>
  <c r="F75" i="14"/>
  <c r="F105" i="14"/>
  <c r="F101" i="14"/>
  <c r="F96" i="14"/>
  <c r="F83" i="14"/>
  <c r="F78" i="14"/>
  <c r="F104" i="14"/>
  <c r="F99" i="14"/>
  <c r="F95" i="14"/>
  <c r="F84" i="14"/>
  <c r="F77" i="14"/>
  <c r="F74" i="14"/>
  <c r="F73" i="14"/>
  <c r="F50" i="14"/>
  <c r="F49" i="14" s="1"/>
  <c r="F67" i="14"/>
  <c r="F65" i="14"/>
  <c r="F62" i="14"/>
  <c r="F60" i="14"/>
  <c r="F56" i="14"/>
  <c r="F54" i="14"/>
  <c r="F48" i="14"/>
  <c r="F46" i="14"/>
  <c r="F44" i="14"/>
  <c r="F41" i="14"/>
  <c r="F68" i="14"/>
  <c r="F66" i="14"/>
  <c r="F64" i="14"/>
  <c r="F61" i="14"/>
  <c r="F57" i="14"/>
  <c r="F55" i="14"/>
  <c r="F52" i="14"/>
  <c r="F40" i="14"/>
  <c r="F47" i="14"/>
  <c r="F45" i="14"/>
  <c r="F43" i="14"/>
  <c r="F17" i="14"/>
  <c r="F20" i="14"/>
  <c r="F22" i="14"/>
  <c r="F25" i="14"/>
  <c r="F27" i="14"/>
  <c r="F29" i="14"/>
  <c r="F32" i="14"/>
  <c r="F35" i="14"/>
  <c r="F37" i="14"/>
  <c r="I18" i="14"/>
  <c r="I24" i="14"/>
  <c r="I28" i="14"/>
  <c r="I34" i="14"/>
  <c r="I17" i="14"/>
  <c r="I22" i="14"/>
  <c r="I27" i="14"/>
  <c r="I32" i="14"/>
  <c r="I37" i="14"/>
  <c r="I81" i="14"/>
  <c r="I83" i="14"/>
  <c r="I85" i="14"/>
  <c r="I74" i="14"/>
  <c r="I107" i="14"/>
  <c r="I104" i="14"/>
  <c r="I102" i="14"/>
  <c r="I99" i="14"/>
  <c r="I97" i="14"/>
  <c r="I95" i="14"/>
  <c r="I93" i="14"/>
  <c r="I79" i="14"/>
  <c r="I77" i="14"/>
  <c r="I75" i="14"/>
  <c r="I73" i="14"/>
  <c r="I82" i="14"/>
  <c r="I84" i="14"/>
  <c r="I87" i="14"/>
  <c r="I108" i="14"/>
  <c r="I105" i="14"/>
  <c r="I103" i="14"/>
  <c r="I101" i="14"/>
  <c r="I98" i="14"/>
  <c r="I96" i="14"/>
  <c r="I94" i="14"/>
  <c r="I88" i="14"/>
  <c r="I78" i="14"/>
  <c r="I76" i="14"/>
  <c r="I16" i="14"/>
  <c r="I21" i="14"/>
  <c r="I26" i="14"/>
  <c r="I31" i="14"/>
  <c r="I50" i="14"/>
  <c r="I67" i="14"/>
  <c r="I62" i="14"/>
  <c r="I56" i="14"/>
  <c r="I47" i="14"/>
  <c r="I43" i="14"/>
  <c r="I68" i="14"/>
  <c r="I64" i="14"/>
  <c r="I57" i="14"/>
  <c r="I52" i="14"/>
  <c r="I48" i="14"/>
  <c r="I44" i="14"/>
  <c r="I65" i="14"/>
  <c r="I60" i="14"/>
  <c r="I54" i="14"/>
  <c r="I45" i="14"/>
  <c r="I40" i="14"/>
  <c r="I66" i="14"/>
  <c r="I61" i="14"/>
  <c r="I55" i="14"/>
  <c r="I46" i="14"/>
  <c r="I41" i="14"/>
  <c r="I20" i="14"/>
  <c r="I25" i="14"/>
  <c r="I29" i="14"/>
  <c r="I35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O86" i="14" l="1"/>
  <c r="O59" i="14"/>
  <c r="M59" i="14"/>
  <c r="M86" i="14"/>
  <c r="G86" i="14"/>
  <c r="F86" i="14"/>
  <c r="K59" i="14"/>
  <c r="K86" i="14"/>
  <c r="I59" i="14"/>
  <c r="I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<sst xmlns="http://schemas.openxmlformats.org/spreadsheetml/2006/main" count="3317" uniqueCount="1670">
  <si>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</si>
  <si>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</si>
  <si>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</si>
  <si>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</si>
  <si>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</si>
  <si>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</si>
  <si>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</si>
  <si>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</si>
  <si>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</si>
  <si>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</si>
  <si>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</si>
  <si>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</si>
  <si>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</si>
  <si>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</si>
  <si>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</si>
  <si>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</si>
  <si>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</si>
  <si>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</si>
  <si>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</si>
  <si>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</si>
  <si>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</si>
  <si>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</si>
  <si>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</si>
  <si>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</si>
  <si>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</si>
  <si>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</si>
  <si>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</si>
  <si>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</si>
  <si>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</si>
  <si>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</si>
  <si>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</si>
  <si>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</si>
  <si>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</si>
  <si>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</si>
  <si>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</si>
  <si>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</si>
  <si>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</si>
  <si>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</si>
  <si>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</si>
  <si>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</si>
  <si>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</si>
  <si>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</si>
  <si>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</si>
  <si>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</si>
  <si>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</si>
  <si>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</si>
  <si>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</si>
  <si>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</si>
  <si>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</si>
  <si>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</si>
  <si>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</si>
  <si>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</si>
  <si>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</si>
  <si>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</si>
  <si>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</si>
  <si>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</si>
  <si>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</si>
  <si>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</si>
  <si>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</si>
  <si>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</si>
  <si>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</si>
  <si>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</si>
  <si>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</si>
  <si>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</si>
  <si>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</si>
  <si>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</si>
  <si>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</si>
  <si>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</si>
  <si>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</si>
  <si>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</si>
  <si>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</si>
  <si>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</si>
  <si>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</si>
  <si>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</si>
  <si>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</si>
  <si>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</si>
  <si>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</si>
  <si>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</si>
  <si>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</si>
  <si>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</si>
  <si>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</si>
  <si>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</si>
  <si>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</si>
  <si>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</si>
  <si>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</si>
  <si>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</si>
  <si>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</si>
  <si>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</si>
  <si>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</si>
  <si>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</si>
  <si>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</si>
  <si>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</si>
  <si>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</si>
  <si>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</si>
  <si>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</si>
  <si>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</si>
  <si>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</si>
  <si>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</si>
  <si>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</si>
  <si>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</si>
  <si>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</si>
  <si>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</si>
  <si>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</si>
  <si>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</si>
  <si>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</si>
  <si>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</si>
  <si>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</si>
  <si>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</si>
  <si>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</si>
  <si>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</si>
  <si>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</si>
  <si>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</si>
  <si>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</si>
  <si>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</si>
  <si>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</si>
  <si>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</si>
  <si>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</si>
  <si>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</si>
  <si>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</si>
  <si>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</si>
  <si>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</si>
  <si>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</si>
  <si>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</si>
  <si>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</si>
  <si>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</si>
  <si>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</si>
  <si>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</si>
  <si>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</si>
  <si>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</si>
  <si>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</si>
  <si>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</si>
  <si>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</si>
  <si>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</si>
  <si>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</si>
  <si>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</si>
  <si>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</si>
  <si>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</si>
  <si>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</si>
  <si>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</si>
  <si>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</si>
  <si>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</si>
  <si>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</si>
  <si>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</si>
  <si>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</si>
  <si>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</si>
  <si>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</si>
  <si>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</si>
  <si>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</si>
  <si>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</si>
  <si>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</si>
  <si>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</si>
  <si>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</si>
  <si>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</si>
  <si>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</si>
  <si>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</si>
  <si>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</si>
  <si>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</si>
  <si>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</si>
  <si>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</si>
  <si>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</si>
  <si>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</si>
  <si>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</si>
  <si>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</si>
  <si>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</si>
  <si>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</si>
  <si>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</si>
  <si>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</si>
  <si>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</si>
  <si>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</si>
  <si>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</si>
  <si>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</si>
  <si>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</si>
  <si>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</si>
  <si>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</si>
  <si>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</si>
  <si>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</si>
  <si>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</si>
  <si>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</si>
  <si>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</si>
  <si>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</si>
  <si>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</si>
  <si>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</si>
  <si>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</si>
  <si>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</si>
  <si>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</si>
  <si>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</si>
  <si>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</si>
  <si>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</si>
  <si>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</si>
  <si>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</si>
  <si>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</si>
  <si>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</si>
  <si>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</si>
  <si>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</si>
  <si>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</si>
  <si>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</si>
  <si>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</si>
  <si>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</si>
  <si>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</si>
  <si>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</si>
  <si>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</si>
  <si>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</si>
  <si>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</si>
  <si>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</si>
  <si>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</si>
  <si>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</si>
  <si>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</si>
  <si>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</si>
  <si>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</si>
  <si>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</si>
  <si>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</si>
  <si>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</si>
  <si>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</si>
  <si>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</si>
  <si>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</si>
  <si>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</si>
  <si>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</si>
  <si>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</si>
  <si>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</si>
  <si>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</si>
  <si>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</si>
  <si>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</si>
  <si>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</si>
  <si>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</si>
  <si>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</si>
  <si>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</si>
  <si>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</si>
  <si>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</si>
  <si>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</si>
  <si>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</si>
  <si>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</si>
  <si>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</si>
  <si>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</si>
  <si>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</si>
  <si>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</si>
  <si>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</si>
  <si>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</si>
  <si>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</si>
  <si>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</si>
  <si>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</si>
  <si>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</si>
  <si>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</si>
  <si>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</si>
  <si>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</si>
  <si>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</si>
  <si>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</si>
  <si>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</si>
  <si>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</si>
  <si>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</si>
  <si>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</si>
  <si>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</si>
  <si>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</si>
  <si>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</si>
  <si>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</si>
  <si>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</si>
  <si>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</si>
  <si>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</si>
  <si>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</si>
  <si>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</si>
  <si>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</si>
  <si>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</si>
  <si>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</si>
  <si>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</si>
  <si>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</si>
  <si>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</si>
  <si>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</si>
  <si>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</si>
  <si>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</si>
  <si>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</si>
  <si>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</si>
  <si>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</si>
  <si>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</si>
  <si>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</si>
  <si>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</si>
  <si>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</si>
  <si>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</si>
  <si>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</si>
  <si>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</si>
  <si>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</si>
  <si>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</si>
  <si>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</si>
  <si>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</si>
  <si>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</si>
  <si>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</si>
  <si>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</si>
  <si>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</si>
  <si>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</si>
  <si>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</si>
  <si>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</si>
  <si>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</si>
  <si>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</si>
  <si>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</si>
  <si>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</si>
  <si>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</si>
  <si>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</si>
  <si>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</si>
  <si>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</si>
  <si>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</si>
  <si>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</si>
  <si>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</si>
  <si>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</si>
  <si>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</si>
  <si>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</si>
  <si>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</si>
  <si>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</si>
  <si>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</si>
  <si>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</si>
  <si>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</si>
  <si>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</si>
  <si>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</si>
  <si>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</si>
  <si>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</si>
  <si>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</si>
  <si>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</si>
  <si>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</si>
  <si>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</si>
  <si>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</si>
  <si>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</si>
  <si>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</si>
  <si>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</si>
  <si>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</si>
  <si>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</si>
  <si>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</si>
  <si>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</si>
  <si>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</si>
  <si>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</si>
  <si>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</si>
  <si>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</si>
  <si>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</si>
  <si>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</si>
  <si>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</si>
  <si>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</si>
  <si>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</si>
  <si>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</si>
  <si>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</si>
  <si>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</si>
  <si>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</si>
  <si>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</si>
  <si>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</si>
  <si>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</si>
  <si>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</si>
  <si>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</si>
  <si>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</si>
  <si>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</si>
  <si>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</si>
  <si>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</si>
  <si>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</si>
  <si>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</si>
  <si>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</si>
  <si>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</si>
  <si>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</si>
  <si>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</si>
  <si>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</si>
  <si>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</si>
  <si>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</si>
  <si>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</si>
  <si>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</si>
  <si>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</si>
  <si>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</si>
  <si>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</si>
  <si>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</si>
  <si>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</si>
  <si>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</si>
  <si>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</si>
  <si>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</si>
  <si>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</si>
  <si>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</si>
  <si>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</si>
  <si>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</si>
  <si>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</si>
  <si>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</si>
  <si>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</si>
  <si>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</si>
  <si>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</si>
  <si>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</si>
  <si>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</si>
  <si>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</si>
  <si>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</si>
  <si>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</si>
  <si>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</si>
  <si>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</si>
  <si>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</si>
  <si>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</si>
  <si>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</si>
  <si>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</si>
  <si>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</si>
  <si>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</si>
  <si>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</si>
  <si>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</si>
  <si>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</si>
  <si>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</si>
  <si>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</si>
  <si>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</si>
  <si>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</si>
  <si>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</si>
  <si>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</si>
  <si>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</si>
  <si>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</si>
  <si>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</si>
  <si>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</si>
  <si>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</si>
  <si>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</si>
  <si>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</si>
  <si>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</si>
  <si>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</si>
  <si>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</si>
  <si>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</si>
  <si>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</si>
  <si>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</si>
  <si>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</si>
  <si>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</si>
  <si>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</si>
  <si>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</si>
  <si>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</si>
  <si>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</si>
  <si>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</si>
  <si>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</si>
  <si>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</si>
  <si>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</si>
  <si>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</si>
  <si>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</si>
  <si>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</si>
  <si>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</si>
  <si>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</si>
  <si>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</si>
  <si>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</si>
  <si>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</si>
  <si>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</si>
  <si>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</si>
  <si>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</si>
  <si>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</si>
  <si>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</si>
  <si>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</si>
  <si>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</si>
  <si>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</si>
  <si>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</si>
  <si>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</si>
  <si>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</si>
  <si>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</si>
  <si>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</si>
  <si>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</si>
  <si>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</si>
  <si>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</si>
  <si>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</si>
  <si>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</si>
  <si>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</si>
  <si>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</si>
  <si>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</si>
  <si>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</si>
  <si>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</si>
  <si>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</si>
  <si>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</si>
  <si>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</si>
  <si>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</si>
  <si>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</si>
  <si>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</si>
  <si>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</si>
  <si>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</si>
  <si>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</si>
  <si>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</si>
  <si>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</si>
  <si>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</si>
  <si>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</si>
  <si>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</si>
  <si>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</si>
  <si>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</si>
  <si>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</si>
  <si>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</si>
  <si>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</si>
  <si>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</si>
  <si>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</si>
  <si>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</si>
  <si>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</si>
  <si>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</si>
  <si>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</si>
  <si>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</si>
  <si>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</si>
  <si>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</si>
  <si>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</si>
  <si>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</si>
  <si>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</si>
  <si>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</si>
  <si>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</si>
  <si>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</si>
  <si>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</si>
  <si>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</si>
  <si>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</si>
  <si>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</si>
  <si>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</si>
  <si>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</si>
  <si>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</si>
  <si>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</si>
  <si>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</si>
  <si>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</si>
  <si>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</si>
  <si>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</si>
  <si>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</si>
  <si>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</si>
  <si>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</si>
  <si>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</si>
  <si>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</si>
  <si>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</si>
  <si>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</si>
  <si>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</si>
  <si>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</si>
  <si>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</si>
  <si>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</si>
  <si>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</si>
  <si>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</si>
  <si>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</si>
  <si>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</si>
  <si>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</si>
  <si>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</si>
  <si>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</si>
  <si>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</si>
  <si>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</si>
  <si>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</si>
  <si>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</si>
  <si>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</si>
  <si>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</si>
  <si>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</si>
  <si>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</si>
  <si>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</si>
  <si>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</si>
  <si>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</si>
  <si>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</si>
  <si>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</si>
  <si>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</si>
  <si>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</si>
  <si>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</si>
  <si>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</si>
  <si>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</si>
  <si>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</si>
  <si>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</si>
  <si>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</si>
  <si>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</si>
  <si>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</si>
  <si>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</si>
  <si>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</si>
  <si>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</si>
  <si>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</si>
  <si>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</si>
  <si>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</si>
  <si>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</si>
  <si>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</si>
  <si>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</si>
  <si>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</si>
  <si>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</si>
  <si>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</si>
  <si>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</si>
  <si>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</si>
  <si>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</si>
  <si>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</si>
  <si>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</si>
  <si>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</si>
  <si>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</si>
  <si>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</si>
  <si>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</si>
  <si>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</si>
  <si>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</si>
  <si>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</si>
  <si>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</si>
  <si>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</si>
  <si>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</si>
  <si>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</si>
  <si>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</si>
  <si>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</si>
  <si>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</si>
  <si>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</si>
  <si>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</si>
  <si>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</si>
  <si>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</si>
  <si>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</si>
  <si>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</si>
  <si>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</si>
  <si>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</si>
  <si>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</si>
  <si>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</si>
  <si>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</si>
  <si>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</si>
  <si>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</si>
  <si>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</si>
  <si>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</si>
  <si>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</si>
  <si>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</si>
  <si>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</si>
  <si>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</si>
  <si>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</si>
  <si>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</si>
  <si>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</si>
  <si>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</si>
  <si>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</si>
  <si>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</si>
  <si>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</si>
  <si>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</si>
  <si>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</si>
  <si>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</si>
  <si>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</si>
  <si>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</si>
  <si>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</si>
  <si>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</si>
  <si>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</si>
  <si>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</si>
  <si>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</si>
  <si>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</si>
  <si>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</si>
  <si>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</si>
  <si>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</si>
  <si>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</si>
  <si>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</si>
  <si>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</si>
  <si>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</si>
  <si>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</si>
  <si>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</si>
  <si>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</si>
  <si>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</si>
  <si>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</si>
  <si>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</si>
  <si>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</si>
  <si>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</si>
  <si>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</si>
  <si>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</si>
  <si>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</si>
  <si>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</si>
  <si>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</si>
  <si>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</si>
  <si>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</si>
  <si>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</si>
  <si>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</si>
  <si>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</si>
  <si>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</si>
  <si>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</si>
  <si>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</si>
  <si>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</si>
  <si>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</si>
  <si>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</si>
  <si>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</si>
  <si>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</si>
  <si>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</si>
  <si>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</si>
  <si>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</si>
  <si>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</si>
  <si>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</si>
  <si>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</si>
  <si>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</si>
  <si>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</si>
  <si>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</si>
  <si>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</si>
  <si>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</si>
  <si>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</si>
  <si>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</si>
  <si>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</si>
  <si>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</si>
  <si>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</si>
  <si>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</si>
  <si>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</si>
  <si>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</si>
  <si>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</si>
  <si>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</si>
  <si>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</si>
  <si>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</si>
  <si>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</si>
  <si>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</si>
  <si>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</si>
  <si>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</si>
  <si>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</si>
  <si>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</si>
  <si>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</si>
  <si>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</si>
  <si>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</si>
  <si>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</si>
  <si>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</si>
  <si>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</si>
  <si>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</si>
  <si>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</si>
  <si>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</si>
  <si>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</si>
  <si>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</si>
  <si>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</si>
  <si>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</si>
  <si>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</si>
  <si>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</si>
  <si>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</si>
  <si>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</si>
  <si>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</si>
  <si>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</si>
  <si>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</si>
  <si>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</si>
  <si>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</si>
  <si>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</si>
  <si>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</si>
  <si>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</si>
  <si>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</si>
  <si>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</si>
  <si>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</si>
  <si>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</si>
  <si>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</si>
  <si>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</si>
  <si>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</si>
  <si>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</si>
  <si>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</si>
  <si>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</si>
  <si>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</si>
  <si>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</si>
  <si>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</si>
  <si>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</si>
  <si>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</si>
  <si>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</si>
  <si>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</si>
  <si>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</si>
  <si>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</si>
  <si>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</si>
  <si>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</si>
  <si>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</si>
  <si>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</si>
  <si>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</si>
  <si>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</si>
  <si>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</si>
  <si>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</si>
  <si>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</si>
  <si>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</si>
  <si>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</si>
  <si>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</si>
  <si>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</si>
  <si>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</si>
  <si>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</si>
  <si>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</si>
  <si>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</si>
  <si>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</si>
  <si>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</si>
  <si>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</si>
  <si>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</si>
  <si>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</si>
  <si>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</si>
  <si>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</si>
  <si>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</si>
  <si>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</si>
  <si>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</si>
  <si>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</si>
  <si>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</si>
  <si>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</si>
  <si>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</si>
  <si>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</si>
  <si>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</si>
  <si>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</si>
  <si>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</si>
  <si>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</si>
  <si>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</si>
  <si>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</si>
  <si>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</si>
  <si>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</si>
  <si>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</si>
  <si>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</si>
  <si>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</si>
  <si>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</si>
  <si>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</si>
  <si>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</si>
  <si>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</si>
  <si>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</si>
  <si>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</si>
  <si>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</si>
  <si>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</si>
  <si>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</si>
  <si>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</si>
  <si>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</si>
  <si>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</si>
  <si>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</si>
  <si>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</si>
  <si>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</si>
  <si>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</si>
  <si>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</si>
  <si>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</si>
  <si>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</si>
  <si>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</si>
  <si>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</si>
  <si>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</si>
  <si>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</si>
  <si>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</si>
  <si>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</si>
  <si>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</si>
  <si>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</si>
  <si>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</si>
  <si>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</si>
  <si>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</si>
  <si>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</si>
  <si>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</si>
  <si>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</si>
  <si>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</si>
  <si>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</si>
  <si>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</si>
  <si>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</si>
  <si>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</si>
  <si>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</si>
  <si>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</si>
  <si>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</si>
  <si>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</si>
  <si>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</si>
  <si>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</si>
  <si>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</si>
  <si>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</si>
  <si>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</si>
  <si>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</si>
  <si>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</si>
  <si>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</si>
  <si>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</si>
  <si>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</si>
  <si>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</si>
  <si>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</si>
  <si>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</si>
  <si>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</si>
  <si>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</si>
  <si>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</si>
  <si>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</si>
  <si>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</si>
  <si>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</si>
  <si>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</si>
  <si>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</si>
  <si>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</si>
  <si>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</si>
  <si>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</si>
  <si>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</si>
  <si>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</si>
  <si>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</si>
  <si>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</si>
  <si>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</si>
  <si>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</si>
  <si>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</si>
  <si>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</si>
  <si>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</si>
  <si>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</si>
  <si>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</si>
  <si>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</si>
  <si>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</si>
  <si>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</si>
  <si>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</si>
  <si>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</si>
  <si>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</si>
  <si>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</si>
  <si>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</si>
  <si>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</si>
  <si>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</si>
  <si>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</si>
  <si>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</si>
  <si>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</si>
  <si>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</si>
  <si>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</si>
  <si>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</si>
  <si>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</si>
  <si>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</si>
  <si>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</si>
  <si>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</si>
  <si>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</si>
  <si>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</si>
  <si>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</si>
  <si>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</si>
  <si>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</si>
  <si>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</si>
  <si>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</si>
  <si>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</si>
  <si>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</si>
  <si>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</si>
  <si>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</si>
  <si>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</si>
  <si>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</si>
  <si>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</si>
  <si>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</si>
  <si>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</si>
  <si>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</si>
  <si>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</si>
  <si>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</si>
  <si>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</si>
  <si>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</si>
  <si>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</si>
  <si>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</si>
  <si>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</si>
  <si>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</si>
  <si>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</si>
  <si>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</si>
  <si>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</si>
  <si>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</si>
  <si>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</si>
  <si>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</si>
  <si>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</si>
  <si>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</si>
  <si>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</si>
  <si>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</si>
  <si>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</si>
  <si>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</si>
  <si>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</si>
  <si>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</si>
  <si>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</si>
  <si>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</si>
  <si>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</si>
  <si>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</si>
  <si>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</si>
  <si>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</si>
  <si>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</si>
  <si>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</si>
  <si>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</si>
  <si>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</si>
  <si>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</si>
  <si>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</si>
  <si>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</si>
  <si>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</si>
  <si>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</si>
  <si>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</si>
  <si>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</si>
  <si>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</si>
  <si>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</si>
  <si>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</si>
  <si>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</si>
  <si>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</si>
  <si>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</si>
  <si>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</si>
  <si>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</si>
  <si>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</si>
  <si>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</si>
  <si>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</si>
  <si>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</si>
  <si>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</si>
  <si>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</si>
  <si>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</si>
  <si>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</si>
  <si>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</si>
  <si>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</si>
  <si>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</si>
  <si>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</si>
  <si>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</si>
  <si>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</si>
  <si>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</si>
  <si>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</si>
  <si>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</si>
  <si>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</si>
  <si>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</si>
  <si>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</si>
  <si>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</si>
  <si>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</si>
  <si>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</si>
  <si>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</si>
  <si>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</si>
  <si>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</si>
  <si>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</si>
  <si>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</si>
  <si>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</si>
  <si>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</si>
  <si>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</si>
  <si>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</si>
  <si>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</si>
  <si>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</si>
  <si>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</si>
  <si>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</si>
  <si>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</si>
  <si>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</si>
  <si>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</si>
  <si>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</si>
  <si>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</si>
  <si>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</si>
  <si>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</si>
  <si>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</si>
  <si>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</si>
  <si>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</si>
  <si>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</si>
  <si>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</si>
  <si>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</si>
  <si>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</si>
  <si>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</si>
  <si>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</si>
  <si>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</si>
  <si>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</si>
  <si>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</si>
  <si>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</si>
  <si>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</si>
  <si>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</si>
  <si>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</si>
  <si>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</si>
  <si>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</si>
  <si>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</si>
  <si>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</si>
  <si>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</si>
  <si>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</si>
  <si>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</si>
  <si>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</si>
  <si>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</si>
  <si>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</si>
  <si>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</si>
  <si>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</si>
  <si>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</si>
  <si>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</si>
  <si>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</si>
  <si>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</si>
  <si>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</si>
  <si>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</si>
  <si>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</si>
  <si>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</si>
  <si>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</si>
  <si>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</si>
  <si>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</si>
  <si>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</si>
  <si>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</si>
  <si>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</si>
  <si>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</si>
  <si>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</si>
  <si>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</si>
  <si>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</si>
  <si>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</si>
  <si>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</si>
  <si>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</si>
  <si>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</si>
  <si>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</si>
  <si>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</si>
  <si>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</si>
  <si>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</si>
  <si>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</si>
  <si>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</si>
  <si>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</si>
  <si>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</si>
  <si>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</si>
  <si>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</si>
  <si>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</si>
  <si>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</si>
  <si>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</si>
  <si>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</si>
  <si>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</si>
  <si>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</si>
  <si>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</si>
  <si>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</si>
  <si>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</si>
  <si>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</si>
  <si>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</si>
  <si>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</si>
  <si>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</si>
  <si>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</si>
  <si>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</si>
  <si>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</si>
  <si>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</si>
  <si>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</si>
  <si>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</si>
  <si>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</si>
  <si>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</si>
  <si>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</si>
  <si>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</si>
  <si>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</si>
  <si>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</si>
  <si>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</si>
  <si>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</si>
  <si>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</si>
  <si>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</si>
  <si>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</si>
  <si>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</si>
  <si>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</si>
  <si>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</si>
  <si>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</si>
  <si>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</si>
  <si>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</si>
  <si>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</si>
  <si>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</si>
  <si>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</si>
  <si>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</si>
  <si>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</si>
  <si>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</si>
  <si>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</si>
  <si>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</si>
  <si>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</si>
  <si>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</si>
  <si>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</si>
  <si>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</si>
  <si>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</si>
  <si>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</si>
  <si>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</si>
  <si>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</si>
  <si>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</si>
  <si>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</si>
  <si>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</si>
  <si>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</si>
  <si>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</si>
  <si>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</si>
  <si>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</si>
  <si>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</si>
  <si>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</si>
  <si>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</si>
  <si>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</si>
  <si>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</si>
  <si>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</si>
  <si>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</si>
  <si>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</si>
  <si>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</si>
  <si>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</si>
  <si>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</si>
  <si>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</si>
  <si>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</si>
  <si>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</si>
  <si>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</si>
  <si>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</si>
  <si>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</si>
  <si>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</si>
  <si>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</si>
  <si>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</si>
  <si>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</si>
  <si>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</si>
  <si>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</si>
  <si>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</si>
  <si>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</si>
  <si>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</si>
  <si>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</si>
  <si>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</si>
  <si>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</si>
  <si>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</si>
  <si>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</si>
  <si>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</si>
  <si>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</si>
  <si>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</si>
  <si>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</si>
  <si>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</si>
  <si>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</si>
  <si>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</si>
  <si>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</si>
  <si>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</si>
  <si>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</si>
  <si>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</si>
  <si>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</si>
  <si>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</si>
  <si>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</si>
  <si>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</si>
  <si>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</si>
  <si>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</si>
  <si>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</si>
  <si>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</si>
  <si>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</si>
  <si>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</si>
  <si>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</si>
  <si>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</si>
  <si>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</si>
  <si>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</si>
  <si>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</si>
  <si>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</si>
  <si>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</si>
  <si>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</si>
  <si>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</si>
  <si>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</si>
  <si>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</si>
  <si>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</si>
  <si>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</si>
  <si>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</si>
  <si>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</si>
  <si>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</si>
  <si>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</si>
  <si>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</si>
  <si>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</si>
  <si>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</si>
  <si>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</si>
  <si>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</si>
  <si>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</si>
  <si>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</si>
  <si>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</si>
  <si>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</si>
  <si>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</si>
  <si>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</si>
  <si>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</si>
  <si>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</si>
  <si>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</si>
  <si>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</si>
  <si>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</si>
  <si>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</si>
  <si>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</si>
  <si>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</si>
  <si>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</si>
  <si>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</si>
  <si>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</si>
  <si>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</si>
  <si>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</si>
  <si>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</si>
  <si>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</si>
  <si>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</si>
  <si>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</si>
  <si>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</si>
  <si>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</si>
  <si>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</si>
  <si>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</si>
  <si>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</si>
  <si>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</si>
  <si>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</si>
  <si>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</si>
  <si>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</si>
  <si>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</si>
  <si>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</si>
  <si>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</si>
  <si>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</si>
  <si>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</si>
  <si>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</si>
  <si>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</si>
  <si>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</si>
  <si>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</si>
  <si>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</si>
  <si>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</si>
  <si>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</si>
  <si>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</si>
  <si>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</si>
  <si>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</si>
  <si>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</si>
  <si>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</si>
  <si>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</si>
  <si>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</si>
  <si>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</si>
  <si>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</si>
  <si>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</si>
  <si>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</si>
  <si>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</si>
  <si>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</si>
  <si>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</si>
  <si>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</si>
  <si>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</si>
  <si>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</si>
  <si>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</si>
  <si>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</si>
  <si>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</si>
  <si>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</si>
  <si>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</si>
  <si>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</si>
  <si>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</si>
  <si>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</si>
  <si>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</si>
  <si>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</si>
  <si>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</si>
  <si>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</si>
  <si>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</si>
  <si>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</si>
  <si>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</si>
  <si>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</si>
  <si>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</si>
  <si>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</si>
  <si>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</si>
  <si>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</si>
  <si>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</si>
  <si>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</si>
  <si>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</si>
  <si>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</si>
  <si>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</si>
  <si>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</si>
  <si>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</si>
  <si>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</si>
  <si>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</si>
  <si>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</si>
  <si>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</si>
  <si>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</si>
  <si>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</si>
  <si>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</si>
  <si>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</si>
  <si>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</si>
  <si>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</si>
  <si>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</si>
  <si>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</si>
  <si>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</si>
  <si>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</si>
  <si>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</si>
  <si>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</si>
  <si>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</si>
  <si>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</si>
  <si>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</si>
  <si>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</si>
  <si>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</si>
  <si>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</si>
  <si>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</si>
  <si>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</si>
  <si>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</si>
  <si>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</si>
  <si>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</si>
  <si>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</si>
  <si>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</si>
  <si>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</si>
  <si>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</si>
  <si>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</si>
  <si>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</si>
  <si>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</si>
  <si>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</si>
  <si>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</si>
  <si>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</si>
  <si>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</si>
  <si>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</si>
  <si>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</si>
  <si>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</si>
  <si>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</si>
  <si>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</si>
  <si>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</si>
  <si>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</si>
  <si>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</si>
  <si>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</si>
  <si>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</si>
  <si>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</si>
  <si>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</si>
  <si>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</si>
  <si>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</si>
  <si>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</si>
  <si>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</si>
  <si>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</si>
  <si>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</si>
  <si>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</si>
  <si>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</si>
  <si>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</si>
  <si>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</si>
  <si>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</si>
  <si>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</si>
  <si>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</si>
  <si>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</si>
  <si>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</si>
  <si>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</si>
  <si>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</si>
  <si>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</si>
  <si>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</si>
  <si>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</si>
  <si>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</si>
  <si>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</si>
  <si>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</si>
  <si>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</si>
  <si>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</si>
  <si>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</si>
  <si>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</si>
  <si>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</si>
  <si>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</si>
  <si>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</si>
  <si>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</si>
  <si>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</si>
  <si>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</si>
  <si>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</si>
  <si>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</si>
  <si>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</si>
  <si>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</si>
  <si>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</si>
  <si>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</si>
  <si>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</si>
  <si>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</si>
  <si>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</si>
  <si>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</si>
  <si>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</si>
  <si>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</si>
  <si>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</si>
  <si>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</si>
  <si>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</si>
  <si>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</si>
  <si>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</si>
  <si>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</si>
  <si>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</si>
  <si>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</si>
  <si>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</si>
  <si>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</si>
  <si>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</si>
  <si>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</si>
  <si>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</si>
  <si>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</si>
  <si>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</si>
  <si>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</si>
  <si>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</si>
  <si>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</si>
  <si>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</si>
  <si>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</si>
  <si>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</si>
  <si>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</si>
  <si>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</si>
  <si>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</si>
  <si>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</si>
  <si>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</si>
  <si>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</si>
  <si>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</si>
  <si>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</si>
  <si>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</si>
  <si>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</si>
  <si>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</si>
  <si>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</si>
  <si>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</si>
  <si>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</si>
  <si>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</si>
  <si>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</si>
  <si>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</si>
  <si>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</si>
  <si>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</si>
  <si>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</si>
  <si>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</si>
  <si>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</si>
  <si>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</si>
  <si>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</si>
  <si>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</si>
  <si>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</si>
  <si>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</si>
  <si>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</si>
  <si>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</si>
  <si>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</si>
  <si>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</si>
  <si>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</si>
  <si>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</si>
  <si>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</si>
  <si>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</si>
  <si>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</si>
  <si>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</si>
  <si>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</si>
  <si>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</si>
  <si>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</si>
  <si>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</si>
  <si>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</si>
  <si>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</si>
  <si>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</si>
  <si>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</si>
  <si>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</si>
  <si>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</si>
  <si>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</si>
  <si>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</si>
  <si>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</si>
  <si>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</si>
  <si>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</si>
  <si>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</si>
  <si>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</si>
  <si>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</si>
  <si>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</si>
  <si>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</si>
  <si>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</si>
  <si>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</si>
  <si>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</si>
  <si>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</si>
  <si>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</si>
  <si>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</si>
  <si>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</si>
  <si>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</si>
  <si>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</si>
  <si>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</si>
  <si>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</si>
  <si>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</si>
  <si>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</si>
  <si>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</si>
  <si>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</si>
  <si>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</si>
  <si>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</si>
  <si>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</si>
  <si>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</si>
  <si>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</si>
  <si>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</si>
  <si>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</si>
  <si>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</si>
  <si>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</si>
  <si>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</si>
  <si>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</si>
  <si>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</si>
  <si>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</si>
  <si>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</si>
  <si>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</si>
  <si>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</si>
  <si>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</si>
  <si>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</si>
  <si>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</si>
  <si>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</si>
  <si>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</si>
  <si>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</si>
  <si>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</si>
  <si>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</si>
  <si>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</si>
  <si>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</si>
  <si>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</si>
  <si>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</si>
  <si>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</si>
  <si>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</si>
  <si>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</si>
  <si>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</si>
  <si>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</si>
  <si>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</si>
  <si>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</si>
  <si>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</si>
  <si>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</si>
  <si>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</si>
  <si>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</si>
  <si>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</si>
  <si>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</si>
  <si>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</si>
  <si>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</si>
  <si>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</si>
  <si>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</si>
  <si>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</si>
  <si>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</si>
  <si>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</si>
  <si>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</si>
  <si>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</si>
  <si>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</si>
  <si>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</si>
  <si>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</si>
  <si>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</si>
  <si>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</si>
  <si>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</si>
  <si>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</si>
  <si>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</si>
  <si>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</si>
  <si>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</si>
  <si>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</si>
  <si>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</si>
  <si>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</si>
  <si>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</si>
  <si>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</si>
  <si>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</si>
  <si>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</si>
  <si>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</si>
  <si>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</si>
  <si>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</si>
  <si>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</si>
  <si>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</si>
  <si>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</si>
  <si>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</si>
  <si>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</si>
  <si>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</si>
  <si>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</si>
  <si>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</si>
  <si>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</si>
  <si>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</si>
  <si>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</si>
  <si>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</si>
  <si>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</si>
  <si>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</si>
  <si>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</si>
  <si>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</si>
  <si>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</si>
  <si>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</si>
  <si>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</si>
  <si>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</si>
  <si>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</si>
  <si>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</si>
  <si>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</si>
  <si>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</si>
  <si>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</si>
  <si>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</si>
  <si>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</si>
  <si>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</si>
  <si>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</si>
  <si>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</si>
  <si>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</si>
  <si>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</si>
  <si>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</si>
  <si>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</si>
  <si>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</si>
  <si>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</si>
  <si>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</si>
  <si>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</si>
  <si>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</si>
  <si>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</si>
  <si>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</si>
  <si>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</si>
  <si>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</si>
  <si>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</si>
  <si>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</si>
  <si>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</si>
  <si>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</si>
  <si>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</si>
  <si>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</si>
  <si>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</si>
  <si>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</si>
  <si>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</si>
  <si>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</si>
  <si>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</si>
  <si>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</si>
  <si>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</si>
  <si>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</si>
  <si>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</si>
  <si>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</si>
  <si>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</si>
  <si>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</si>
  <si>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</si>
  <si>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</si>
  <si>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</si>
  <si>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</si>
  <si>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</si>
  <si>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</si>
  <si>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</si>
  <si>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</si>
  <si>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</si>
  <si>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</si>
  <si>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</si>
  <si>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</si>
  <si>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</si>
  <si>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</si>
  <si>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</si>
  <si>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</si>
  <si>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</si>
  <si>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</si>
  <si>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</si>
  <si>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</si>
  <si>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</si>
  <si>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</si>
  <si>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</si>
  <si>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</si>
  <si>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</si>
  <si>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</si>
  <si>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</si>
  <si>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</si>
  <si>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</si>
  <si>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</si>
  <si>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</si>
  <si>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</si>
  <si>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</si>
  <si>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</si>
  <si>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</si>
  <si>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</si>
  <si>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</si>
  <si>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</si>
  <si>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</si>
  <si>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</si>
  <si>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</si>
  <si>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</si>
  <si>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</si>
  <si>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</si>
  <si>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</si>
  <si>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</si>
  <si>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</si>
  <si>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</si>
  <si>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</si>
  <si>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</si>
  <si>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</si>
  <si>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</si>
  <si>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</si>
  <si>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</si>
  <si>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</si>
  <si>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</si>
  <si>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</si>
  <si>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</si>
  <si>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</si>
  <si>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</si>
  <si>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</si>
  <si>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</si>
  <si>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</si>
  <si>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</si>
  <si>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</si>
  <si>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</si>
  <si>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</si>
  <si>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</si>
  <si>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</si>
  <si>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</si>
  <si>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</si>
  <si>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</si>
  <si>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</si>
  <si>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</si>
  <si>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</si>
  <si>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</si>
  <si>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</si>
  <si>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</si>
  <si>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</si>
  <si>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</si>
  <si>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</si>
  <si>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</si>
  <si>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</si>
  <si>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</si>
  <si>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</si>
  <si>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</si>
  <si>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</si>
  <si>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</si>
  <si>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</si>
  <si>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</si>
  <si>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</si>
  <si>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</si>
  <si>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</si>
  <si>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</si>
  <si>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</si>
  <si>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</si>
  <si>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</si>
  <si>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</si>
  <si>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</si>
  <si>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</si>
  <si>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</si>
  <si>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</si>
  <si>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</si>
  <si>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</si>
  <si>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</si>
  <si>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</si>
  <si>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</si>
  <si>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2276 SVEUČILIŠTE J.J STROSSMAYERA U OSIJEKU - PREHRAMBENO TEHNOLOŠKI FAKULTET</t>
  </si>
  <si>
    <t>OSIJEK, 19.9.2019.</t>
  </si>
  <si>
    <t>Maja Babić</t>
  </si>
  <si>
    <t>031/224-306</t>
  </si>
  <si>
    <t>maja.babic@ptfos.hr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</si>
</sst>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169" fontId="13" fillId="0" borderId="1" xfId="16" quotePrefix="1" applyNumberFormat="1" applyFill="1" applyAlignment="1" applyProtection="1">
      <alignment horizontal="left" vertical="center" indent="5" justifyLastLine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6" t="s">
        <v>1665</v>
      </c>
      <c r="D3" s="257"/>
      <c r="E3" s="258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9" t="s">
        <v>1666</v>
      </c>
      <c r="D4" s="260"/>
      <c r="E4" s="261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9" t="s">
        <v>1667</v>
      </c>
      <c r="D5" s="260"/>
      <c r="E5" s="261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9" t="s">
        <v>1668</v>
      </c>
      <c r="D6" s="260"/>
      <c r="E6" s="261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9" t="s">
        <v>1669</v>
      </c>
      <c r="D7" s="260"/>
      <c r="E7" s="261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5" t="s">
        <v>842</v>
      </c>
      <c r="C9" s="254"/>
      <c r="D9" s="254"/>
      <c r="E9" s="254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5" t="s">
        <v>3</v>
      </c>
      <c r="C10" s="254"/>
      <c r="D10" s="254"/>
      <c r="E10" s="254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3"/>
      <c r="C11" s="254"/>
      <c r="D11" s="254"/>
      <c r="E11" s="254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30996122</v>
      </c>
      <c r="D14" s="173">
        <f>+D15+D16</f>
        <v>31260334</v>
      </c>
      <c r="E14" s="173">
        <f>+E15+E16</f>
        <v>30926931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30991122</v>
      </c>
      <c r="D15" s="176">
        <f>'PLAN PRIHODA I PRIMITAKA '!C62</f>
        <v>31255334</v>
      </c>
      <c r="E15" s="176">
        <f>'PLAN PRIHODA I PRIMITAKA '!C98</f>
        <v>30921931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5000</v>
      </c>
      <c r="D16" s="176">
        <f>'PLAN PRIHODA I PRIMITAKA '!C69</f>
        <v>5000</v>
      </c>
      <c r="E16" s="176">
        <f>'PLAN PRIHODA I PRIMITAKA '!C105</f>
        <v>5000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37499177</v>
      </c>
      <c r="D17" s="180">
        <f>+D18+D19</f>
        <v>31307829</v>
      </c>
      <c r="E17" s="180">
        <f>+E18+E19</f>
        <v>31076931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28881426</v>
      </c>
      <c r="D18" s="182">
        <f>'PLAN RASHODA I IZDATAKA'!C72</f>
        <v>28686969</v>
      </c>
      <c r="E18" s="182">
        <f>'PLAN RASHODA I IZDATAKA'!C92</f>
        <v>28720565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8617751</v>
      </c>
      <c r="D19" s="182">
        <f>'PLAN RASHODA I IZDATAKA'!C80</f>
        <v>2620860</v>
      </c>
      <c r="E19" s="182">
        <f>'PLAN RASHODA I IZDATAKA'!C100</f>
        <v>2356366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-6503055</v>
      </c>
      <c r="D20" s="173">
        <f>+D14-D17</f>
        <v>-47495</v>
      </c>
      <c r="E20" s="173">
        <f>+E14-E17</f>
        <v>-150000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3"/>
      <c r="C21" s="254"/>
      <c r="D21" s="254"/>
      <c r="E21" s="254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6700550</v>
      </c>
      <c r="D23" s="181">
        <f>'PLAN PRIHODA I PRIMITAKA '!C41</f>
        <v>197495</v>
      </c>
      <c r="E23" s="181">
        <f>'PLAN PRIHODA I PRIMITAKA '!C77</f>
        <v>150000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-197495</v>
      </c>
      <c r="D24" s="185">
        <f>'PLAN PRIHODA I PRIMITAKA '!C43</f>
        <v>-150000</v>
      </c>
      <c r="E24" s="186">
        <f>'PLAN PRIHODA I PRIMITAKA '!C79</f>
        <v>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3"/>
      <c r="C25" s="254"/>
      <c r="D25" s="254"/>
      <c r="E25" s="254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3"/>
      <c r="C30" s="254"/>
      <c r="D30" s="254"/>
      <c r="E30" s="254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H24" sqref="H2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2" t="s">
        <v>812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20682402</v>
      </c>
      <c r="H3" s="198">
        <v>21140994</v>
      </c>
      <c r="I3" s="198">
        <v>21314072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31</v>
      </c>
      <c r="D4" s="140" t="str">
        <f t="shared" si="1"/>
        <v>Vlastiti prihodi</v>
      </c>
      <c r="E4" s="153">
        <v>6615</v>
      </c>
      <c r="F4" s="141" t="str">
        <f t="shared" ref="F4:F66" si="2">IFERROR(VLOOKUP(E4,$R$6:$U$73,2,FALSE),"")</f>
        <v>Prihodi od pruženih usluga</v>
      </c>
      <c r="G4" s="198">
        <v>875813</v>
      </c>
      <c r="H4" s="198">
        <v>932678</v>
      </c>
      <c r="I4" s="198">
        <v>523518</v>
      </c>
      <c r="K4" s="144" t="str">
        <f t="shared" ref="K4:K67" si="3">LEFT(E4,3)</f>
        <v>661</v>
      </c>
      <c r="L4" s="144" t="str">
        <f t="shared" ref="L4:L67" si="4">LEFT(E4,2)</f>
        <v>66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31</v>
      </c>
      <c r="D5" s="140" t="str">
        <f t="shared" si="1"/>
        <v>Vlastiti prihodi</v>
      </c>
      <c r="E5" s="153">
        <v>6614</v>
      </c>
      <c r="F5" s="141" t="str">
        <f t="shared" si="2"/>
        <v>Prihodi od prodaje proizvoda i robe</v>
      </c>
      <c r="G5" s="198">
        <v>27000</v>
      </c>
      <c r="H5" s="198">
        <v>30000</v>
      </c>
      <c r="I5" s="198">
        <v>32000</v>
      </c>
      <c r="K5" s="144" t="str">
        <f t="shared" si="3"/>
        <v>661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71</v>
      </c>
      <c r="D6" s="140" t="str">
        <f t="shared" si="1"/>
        <v>Prihodi od nefin. imovine i nadoknade štete s osnova osig.</v>
      </c>
      <c r="E6" s="153">
        <v>721110071</v>
      </c>
      <c r="F6" s="141" t="str">
        <f t="shared" si="2"/>
        <v>Stambeni objekti za zaposlene izvor 71</v>
      </c>
      <c r="G6" s="198">
        <v>5000</v>
      </c>
      <c r="H6" s="198">
        <v>5000</v>
      </c>
      <c r="I6" s="198">
        <v>5000</v>
      </c>
      <c r="K6" s="144" t="str">
        <f t="shared" si="3"/>
        <v>721</v>
      </c>
      <c r="L6" s="144" t="str">
        <f t="shared" si="4"/>
        <v>72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43</v>
      </c>
      <c r="D7" s="140" t="str">
        <f t="shared" si="1"/>
        <v>Ostali prihodi za posebne namjene</v>
      </c>
      <c r="E7" s="153">
        <v>65268</v>
      </c>
      <c r="F7" s="141" t="str">
        <f t="shared" si="2"/>
        <v>Ostali prihodi za posebne namjene</v>
      </c>
      <c r="G7" s="198">
        <v>1719391</v>
      </c>
      <c r="H7" s="198">
        <v>2270740</v>
      </c>
      <c r="I7" s="198">
        <v>2155275</v>
      </c>
      <c r="K7" s="144" t="str">
        <f t="shared" si="3"/>
        <v>652</v>
      </c>
      <c r="L7" s="144" t="str">
        <f t="shared" si="4"/>
        <v>65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61</v>
      </c>
      <c r="D8" s="140" t="str">
        <f t="shared" si="1"/>
        <v>Donacije</v>
      </c>
      <c r="E8" s="153">
        <v>663120000</v>
      </c>
      <c r="F8" s="141" t="str">
        <f t="shared" si="2"/>
        <v>Tekuće donacije od neprofitnih organizacija</v>
      </c>
      <c r="G8" s="198">
        <v>1042711</v>
      </c>
      <c r="H8" s="198">
        <v>1053138</v>
      </c>
      <c r="I8" s="198">
        <v>1058352</v>
      </c>
      <c r="K8" s="144" t="str">
        <f t="shared" si="3"/>
        <v>663</v>
      </c>
      <c r="L8" s="144" t="str">
        <f t="shared" si="4"/>
        <v>66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43</v>
      </c>
      <c r="D9" s="140" t="str">
        <f t="shared" si="1"/>
        <v>Ostali prihodi za posebne namjene</v>
      </c>
      <c r="E9" s="153">
        <v>65264</v>
      </c>
      <c r="F9" s="141" t="str">
        <f t="shared" si="2"/>
        <v>Sufinanciranje cijene usluge, participacije i slično</v>
      </c>
      <c r="G9" s="198">
        <v>2185925</v>
      </c>
      <c r="H9" s="198">
        <v>2207784</v>
      </c>
      <c r="I9" s="198">
        <v>2218714</v>
      </c>
      <c r="K9" s="144" t="str">
        <f t="shared" si="3"/>
        <v>652</v>
      </c>
      <c r="L9" s="144" t="str">
        <f t="shared" si="4"/>
        <v>65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52</v>
      </c>
      <c r="D10" s="140" t="str">
        <f t="shared" si="1"/>
        <v>Ostale pomoći</v>
      </c>
      <c r="E10" s="153">
        <v>6391</v>
      </c>
      <c r="F10" s="141" t="str">
        <f t="shared" si="2"/>
        <v>Tekući prijenosi između proračunskih korisnika istog proračuna</v>
      </c>
      <c r="G10" s="198">
        <v>3500000</v>
      </c>
      <c r="H10" s="198">
        <v>3500000</v>
      </c>
      <c r="I10" s="198">
        <v>3500000</v>
      </c>
      <c r="K10" s="144" t="str">
        <f t="shared" si="3"/>
        <v>639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52</v>
      </c>
      <c r="D11" s="140" t="str">
        <f t="shared" si="1"/>
        <v>Ostale pomoći</v>
      </c>
      <c r="E11" s="153">
        <v>6391</v>
      </c>
      <c r="F11" s="141" t="str">
        <f t="shared" si="2"/>
        <v>Tekući prijenosi između proračunskih korisnika istog proračuna</v>
      </c>
      <c r="G11" s="198">
        <v>120000</v>
      </c>
      <c r="H11" s="198">
        <v>120000</v>
      </c>
      <c r="I11" s="198">
        <v>120000</v>
      </c>
      <c r="K11" s="144" t="str">
        <f t="shared" si="3"/>
        <v>639</v>
      </c>
      <c r="L11" s="144" t="str">
        <f t="shared" si="4"/>
        <v>63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561</v>
      </c>
      <c r="D12" s="140" t="str">
        <f t="shared" si="1"/>
        <v>Europski socijalni fond (ESF)</v>
      </c>
      <c r="E12" s="153">
        <v>632310561</v>
      </c>
      <c r="F12" s="141" t="str">
        <f t="shared" si="2"/>
        <v>Tekuće pomoći od institucija i tijela EU - ESF</v>
      </c>
      <c r="G12" s="198">
        <v>837880</v>
      </c>
      <c r="H12" s="198">
        <v>0</v>
      </c>
      <c r="I12" s="198">
        <v>0</v>
      </c>
      <c r="K12" s="144" t="str">
        <f t="shared" si="3"/>
        <v>632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18" activePane="bottomLeft" state="frozen"/>
      <selection pane="bottomLeft" activeCell="J47" sqref="J47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3" t="s">
        <v>811</v>
      </c>
      <c r="B1" s="263"/>
      <c r="C1" s="263"/>
      <c r="D1" s="263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80</v>
      </c>
      <c r="H3" s="149" t="str">
        <f>IFERROR(VLOOKUP(G3,$X$6:$Y$50,2,FALSE),"")</f>
        <v>REDOVNA DJELATNOST SVEUČILIŠTA U OSIJEKU</v>
      </c>
      <c r="I3" s="198">
        <v>15022255</v>
      </c>
      <c r="J3" s="198">
        <v>15355298</v>
      </c>
      <c r="K3" s="198">
        <v>15496874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3132</v>
      </c>
      <c r="F4" s="149" t="str">
        <f t="shared" si="0"/>
        <v>Doprinosi za obvezno zdravstveno osiguranje</v>
      </c>
      <c r="G4" s="201" t="s">
        <v>80</v>
      </c>
      <c r="H4" s="149" t="str">
        <f t="shared" ref="H4:H67" si="2">IFERROR(VLOOKUP(G4,$X$6:$Y$50,2,FALSE),"")</f>
        <v>REDOVNA DJELATNOST SVEUČILIŠTA U OSIJEKU</v>
      </c>
      <c r="I4" s="198">
        <v>2478672</v>
      </c>
      <c r="J4" s="198">
        <v>2533624</v>
      </c>
      <c r="K4" s="198">
        <v>2556984</v>
      </c>
      <c r="M4" s="144" t="str">
        <f t="shared" ref="M4:M67" si="3">LEFT(E4,3)</f>
        <v>313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3212</v>
      </c>
      <c r="F5" s="149" t="str">
        <f t="shared" si="0"/>
        <v>Naknade za prijevoz, za rad na terenu i odvojeni život</v>
      </c>
      <c r="G5" s="201" t="s">
        <v>80</v>
      </c>
      <c r="H5" s="149" t="str">
        <f t="shared" si="2"/>
        <v>REDOVNA DJELATNOST SVEUČILIŠTA U OSIJEKU</v>
      </c>
      <c r="I5" s="198">
        <v>394990</v>
      </c>
      <c r="J5" s="198">
        <v>403747</v>
      </c>
      <c r="K5" s="198">
        <v>407470</v>
      </c>
      <c r="M5" s="144" t="str">
        <f t="shared" si="3"/>
        <v>321</v>
      </c>
      <c r="N5" s="144" t="str">
        <f t="shared" si="4"/>
        <v>32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3236</v>
      </c>
      <c r="F6" s="149" t="str">
        <f t="shared" si="0"/>
        <v>Zdravstvene i veterinarske usluge</v>
      </c>
      <c r="G6" s="201" t="s">
        <v>80</v>
      </c>
      <c r="H6" s="149" t="str">
        <f t="shared" si="2"/>
        <v>REDOVNA DJELATNOST SVEUČILIŠTA U OSIJEKU</v>
      </c>
      <c r="I6" s="198">
        <v>20000</v>
      </c>
      <c r="J6" s="198">
        <v>20500</v>
      </c>
      <c r="K6" s="198">
        <v>20500</v>
      </c>
      <c r="M6" s="144" t="str">
        <f t="shared" si="3"/>
        <v>323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3295</v>
      </c>
      <c r="F7" s="149" t="str">
        <f t="shared" si="0"/>
        <v>Pristojbe i naknade</v>
      </c>
      <c r="G7" s="201" t="s">
        <v>80</v>
      </c>
      <c r="H7" s="149" t="str">
        <f t="shared" si="2"/>
        <v>REDOVNA DJELATNOST SVEUČILIŠTA U OSIJEKU</v>
      </c>
      <c r="I7" s="198">
        <v>40130</v>
      </c>
      <c r="J7" s="198">
        <v>41020</v>
      </c>
      <c r="K7" s="198">
        <v>41398</v>
      </c>
      <c r="M7" s="144" t="str">
        <f t="shared" si="3"/>
        <v>329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3121</v>
      </c>
      <c r="F8" s="149" t="str">
        <f t="shared" si="0"/>
        <v>Ostali rashodi za zaposlene</v>
      </c>
      <c r="G8" s="201" t="s">
        <v>80</v>
      </c>
      <c r="H8" s="149" t="str">
        <f t="shared" si="2"/>
        <v>REDOVNA DJELATNOST SVEUČILIŠTA U OSIJEKU</v>
      </c>
      <c r="I8" s="198">
        <v>428770</v>
      </c>
      <c r="J8" s="198">
        <v>438276</v>
      </c>
      <c r="K8" s="198">
        <v>442317</v>
      </c>
      <c r="M8" s="144" t="str">
        <f t="shared" si="3"/>
        <v>312</v>
      </c>
      <c r="N8" s="144" t="str">
        <f t="shared" si="4"/>
        <v>31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3211</v>
      </c>
      <c r="F9" s="149" t="str">
        <f t="shared" si="0"/>
        <v>Službena putovanja</v>
      </c>
      <c r="G9" s="201" t="s">
        <v>864</v>
      </c>
      <c r="H9" s="149" t="str">
        <f t="shared" si="2"/>
        <v>PROGRAMSKO FINANCIRANJE JAVNIH VISOKIH UČILIŠTA</v>
      </c>
      <c r="I9" s="198">
        <v>595000</v>
      </c>
      <c r="J9" s="198">
        <v>606900</v>
      </c>
      <c r="K9" s="198">
        <v>606900</v>
      </c>
      <c r="M9" s="144" t="str">
        <f t="shared" si="3"/>
        <v>321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3213</v>
      </c>
      <c r="F10" s="149" t="str">
        <f t="shared" si="0"/>
        <v>Stručno usavršavanje zaposlenika</v>
      </c>
      <c r="G10" s="201" t="s">
        <v>864</v>
      </c>
      <c r="H10" s="149" t="str">
        <f t="shared" si="2"/>
        <v>PROGRAMSKO FINANCIRANJE JAVNIH VISOKIH UČILIŠTA</v>
      </c>
      <c r="I10" s="198">
        <v>98300</v>
      </c>
      <c r="J10" s="198">
        <v>100266</v>
      </c>
      <c r="K10" s="198">
        <v>100266</v>
      </c>
      <c r="M10" s="144" t="str">
        <f t="shared" si="3"/>
        <v>321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3221</v>
      </c>
      <c r="F11" s="149" t="str">
        <f t="shared" si="0"/>
        <v>Uredski materijal i ostali materijalni rashodi</v>
      </c>
      <c r="G11" s="201" t="s">
        <v>864</v>
      </c>
      <c r="H11" s="149" t="str">
        <f t="shared" si="2"/>
        <v>PROGRAMSKO FINANCIRANJE JAVNIH VISOKIH UČILIŠTA</v>
      </c>
      <c r="I11" s="198">
        <v>72400</v>
      </c>
      <c r="J11" s="198">
        <v>73848</v>
      </c>
      <c r="K11" s="198">
        <v>73848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3222</v>
      </c>
      <c r="F12" s="149" t="str">
        <f t="shared" si="0"/>
        <v>Materijal i sirovine</v>
      </c>
      <c r="G12" s="201" t="s">
        <v>864</v>
      </c>
      <c r="H12" s="149" t="str">
        <f t="shared" si="2"/>
        <v>PROGRAMSKO FINANCIRANJE JAVNIH VISOKIH UČILIŠTA</v>
      </c>
      <c r="I12" s="198">
        <v>290832</v>
      </c>
      <c r="J12" s="198">
        <v>301640</v>
      </c>
      <c r="K12" s="198">
        <v>301640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3223</v>
      </c>
      <c r="F13" s="149" t="str">
        <f t="shared" si="0"/>
        <v>Energija</v>
      </c>
      <c r="G13" s="201" t="s">
        <v>864</v>
      </c>
      <c r="H13" s="149" t="str">
        <f t="shared" si="2"/>
        <v>PROGRAMSKO FINANCIRANJE JAVNIH VISOKIH UČILIŠTA</v>
      </c>
      <c r="I13" s="198">
        <v>357757</v>
      </c>
      <c r="J13" s="198">
        <v>364912</v>
      </c>
      <c r="K13" s="198">
        <v>364912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3224</v>
      </c>
      <c r="F14" s="149" t="str">
        <f t="shared" si="0"/>
        <v>Materijal i dijelovi za tekuće i investicijsko održavanje</v>
      </c>
      <c r="G14" s="201" t="s">
        <v>864</v>
      </c>
      <c r="H14" s="149" t="str">
        <f t="shared" si="2"/>
        <v>PROGRAMSKO FINANCIRANJE JAVNIH VISOKIH UČILIŠTA</v>
      </c>
      <c r="I14" s="198">
        <v>107527</v>
      </c>
      <c r="J14" s="198">
        <v>109678</v>
      </c>
      <c r="K14" s="198">
        <v>109678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3227</v>
      </c>
      <c r="F15" s="149" t="str">
        <f t="shared" si="0"/>
        <v>Službena, radna i zaštitna odjeća i obuća</v>
      </c>
      <c r="G15" s="201" t="s">
        <v>864</v>
      </c>
      <c r="H15" s="149" t="str">
        <f t="shared" si="2"/>
        <v>PROGRAMSKO FINANCIRANJE JAVNIH VISOKIH UČILIŠTA</v>
      </c>
      <c r="I15" s="198">
        <v>5400</v>
      </c>
      <c r="J15" s="198">
        <v>5508</v>
      </c>
      <c r="K15" s="198">
        <v>5508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3233</v>
      </c>
      <c r="F16" s="149" t="str">
        <f t="shared" si="0"/>
        <v>Usluge promidžbe i informiranja</v>
      </c>
      <c r="G16" s="201" t="s">
        <v>864</v>
      </c>
      <c r="H16" s="149" t="str">
        <f t="shared" si="2"/>
        <v>PROGRAMSKO FINANCIRANJE JAVNIH VISOKIH UČILIŠTA</v>
      </c>
      <c r="I16" s="198">
        <v>90880</v>
      </c>
      <c r="J16" s="198">
        <v>92698</v>
      </c>
      <c r="K16" s="198">
        <v>92698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3239</v>
      </c>
      <c r="F17" s="149" t="str">
        <f t="shared" si="0"/>
        <v>Ostale usluge</v>
      </c>
      <c r="G17" s="201" t="s">
        <v>864</v>
      </c>
      <c r="H17" s="149" t="str">
        <f t="shared" si="2"/>
        <v>PROGRAMSKO FINANCIRANJE JAVNIH VISOKIH UČILIŠTA</v>
      </c>
      <c r="I17" s="198">
        <v>87787</v>
      </c>
      <c r="J17" s="198">
        <v>89543</v>
      </c>
      <c r="K17" s="198">
        <v>89543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4224</v>
      </c>
      <c r="F18" s="149" t="str">
        <f t="shared" si="0"/>
        <v>Medicinska i laboratorijska oprema</v>
      </c>
      <c r="G18" s="201" t="s">
        <v>864</v>
      </c>
      <c r="H18" s="149" t="str">
        <f t="shared" si="2"/>
        <v>PROGRAMSKO FINANCIRANJE JAVNIH VISOKIH UČILIŠTA</v>
      </c>
      <c r="I18" s="198">
        <v>169700</v>
      </c>
      <c r="J18" s="198">
        <v>173094</v>
      </c>
      <c r="K18" s="198">
        <v>173094</v>
      </c>
      <c r="M18" s="144" t="str">
        <f t="shared" si="3"/>
        <v>422</v>
      </c>
      <c r="N18" s="144" t="str">
        <f t="shared" si="4"/>
        <v>42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4241</v>
      </c>
      <c r="F19" s="149" t="str">
        <f t="shared" si="0"/>
        <v>Knjige</v>
      </c>
      <c r="G19" s="201" t="s">
        <v>864</v>
      </c>
      <c r="H19" s="149" t="str">
        <f t="shared" si="2"/>
        <v>PROGRAMSKO FINANCIRANJE JAVNIH VISOKIH UČILIŠTA</v>
      </c>
      <c r="I19" s="198">
        <v>3000</v>
      </c>
      <c r="J19" s="198">
        <v>3060</v>
      </c>
      <c r="K19" s="198">
        <v>3060</v>
      </c>
      <c r="M19" s="144" t="str">
        <f t="shared" si="3"/>
        <v>424</v>
      </c>
      <c r="N19" s="144" t="str">
        <f t="shared" si="4"/>
        <v>42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3721</v>
      </c>
      <c r="F20" s="149" t="str">
        <f t="shared" si="0"/>
        <v>Naknade građanima i kućanstvima u novcu</v>
      </c>
      <c r="G20" s="201" t="s">
        <v>864</v>
      </c>
      <c r="H20" s="149" t="str">
        <f t="shared" si="2"/>
        <v>PROGRAMSKO FINANCIRANJE JAVNIH VISOKIH UČILIŠTA</v>
      </c>
      <c r="I20" s="198">
        <v>52000</v>
      </c>
      <c r="J20" s="198">
        <v>53040</v>
      </c>
      <c r="K20" s="198">
        <v>53040</v>
      </c>
      <c r="M20" s="144" t="str">
        <f t="shared" si="3"/>
        <v>372</v>
      </c>
      <c r="N20" s="144" t="str">
        <f t="shared" si="4"/>
        <v>37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31</v>
      </c>
      <c r="D21" s="149" t="str">
        <f t="shared" si="1"/>
        <v>Vlastiti prihodi</v>
      </c>
      <c r="E21" s="154">
        <v>3211</v>
      </c>
      <c r="F21" s="149" t="str">
        <f t="shared" si="0"/>
        <v>Službena putovanja</v>
      </c>
      <c r="G21" s="201" t="s">
        <v>197</v>
      </c>
      <c r="H21" s="149" t="str">
        <f t="shared" si="2"/>
        <v>REDOVNA DJELATNOST SVEUČILIŠTA U OSIJEKU (IZ EVIDENCIJSKIH PRIHODA)</v>
      </c>
      <c r="I21" s="198">
        <v>70000</v>
      </c>
      <c r="J21" s="198">
        <v>70000</v>
      </c>
      <c r="K21" s="198">
        <v>70000</v>
      </c>
      <c r="M21" s="144" t="str">
        <f t="shared" si="3"/>
        <v>321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31</v>
      </c>
      <c r="D22" s="149" t="str">
        <f t="shared" si="1"/>
        <v>Vlastiti prihodi</v>
      </c>
      <c r="E22" s="154">
        <v>3237</v>
      </c>
      <c r="F22" s="149" t="str">
        <f t="shared" si="0"/>
        <v>Intelektualne i osobne usluge</v>
      </c>
      <c r="G22" s="201" t="s">
        <v>197</v>
      </c>
      <c r="H22" s="149" t="str">
        <f t="shared" si="2"/>
        <v>REDOVNA DJELATNOST SVEUČILIŠTA U OSIJEKU (IZ EVIDENCIJSKIH PRIHODA)</v>
      </c>
      <c r="I22" s="198">
        <v>226268</v>
      </c>
      <c r="J22" s="198">
        <v>276268</v>
      </c>
      <c r="K22" s="198">
        <v>226268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31</v>
      </c>
      <c r="D23" s="149" t="str">
        <f t="shared" si="1"/>
        <v>Vlastiti prihodi</v>
      </c>
      <c r="E23" s="154">
        <v>3222</v>
      </c>
      <c r="F23" s="149" t="str">
        <f t="shared" si="0"/>
        <v>Materijal i sirovine</v>
      </c>
      <c r="G23" s="201" t="s">
        <v>197</v>
      </c>
      <c r="H23" s="149" t="str">
        <f t="shared" si="2"/>
        <v>REDOVNA DJELATNOST SVEUČILIŠTA U OSIJEKU (IZ EVIDENCIJSKIH PRIHODA)</v>
      </c>
      <c r="I23" s="198">
        <v>21500</v>
      </c>
      <c r="J23" s="198">
        <v>21500</v>
      </c>
      <c r="K23" s="198">
        <v>21500</v>
      </c>
      <c r="M23" s="144" t="str">
        <f t="shared" si="3"/>
        <v>322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31</v>
      </c>
      <c r="D24" s="149" t="str">
        <f t="shared" si="1"/>
        <v>Vlastiti prihodi</v>
      </c>
      <c r="E24" s="154">
        <v>3241</v>
      </c>
      <c r="F24" s="149" t="str">
        <f t="shared" si="0"/>
        <v>Naknade troškova osobama izvan radnog odnosa</v>
      </c>
      <c r="G24" s="201" t="s">
        <v>197</v>
      </c>
      <c r="H24" s="149" t="str">
        <f t="shared" si="2"/>
        <v>REDOVNA DJELATNOST SVEUČILIŠTA U OSIJEKU (IZ EVIDENCIJSKIH PRIHODA)</v>
      </c>
      <c r="I24" s="198">
        <v>35000</v>
      </c>
      <c r="J24" s="198">
        <v>45000</v>
      </c>
      <c r="K24" s="198">
        <v>35000</v>
      </c>
      <c r="M24" s="144" t="str">
        <f t="shared" si="3"/>
        <v>324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31</v>
      </c>
      <c r="D25" s="149" t="str">
        <f t="shared" si="1"/>
        <v>Vlastiti prihodi</v>
      </c>
      <c r="E25" s="154">
        <v>3431</v>
      </c>
      <c r="F25" s="149" t="str">
        <f t="shared" si="0"/>
        <v>Bankarske usluge i usluge platnog prometa</v>
      </c>
      <c r="G25" s="201" t="s">
        <v>197</v>
      </c>
      <c r="H25" s="149" t="str">
        <f t="shared" si="2"/>
        <v>REDOVNA DJELATNOST SVEUČILIŠTA U OSIJEKU (IZ EVIDENCIJSKIH PRIHODA)</v>
      </c>
      <c r="I25" s="198">
        <v>40000</v>
      </c>
      <c r="J25" s="198">
        <v>50000</v>
      </c>
      <c r="K25" s="198">
        <v>40000</v>
      </c>
      <c r="M25" s="144" t="str">
        <f t="shared" si="3"/>
        <v>343</v>
      </c>
      <c r="N25" s="144" t="str">
        <f t="shared" si="4"/>
        <v>34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31</v>
      </c>
      <c r="D26" s="149" t="str">
        <f t="shared" si="1"/>
        <v>Vlastiti prihodi</v>
      </c>
      <c r="E26" s="154">
        <v>3432</v>
      </c>
      <c r="F26" s="149" t="str">
        <f t="shared" si="0"/>
        <v>Negativne tečajne razlike i razlike zbog primjene valutne kl</v>
      </c>
      <c r="G26" s="201" t="s">
        <v>197</v>
      </c>
      <c r="H26" s="149" t="str">
        <f t="shared" si="2"/>
        <v>REDOVNA DJELATNOST SVEUČILIŠTA U OSIJEKU (IZ EVIDENCIJSKIH PRIHODA)</v>
      </c>
      <c r="I26" s="198">
        <v>2200</v>
      </c>
      <c r="J26" s="198">
        <v>2500</v>
      </c>
      <c r="K26" s="198">
        <v>2200</v>
      </c>
      <c r="M26" s="144" t="str">
        <f t="shared" si="3"/>
        <v>343</v>
      </c>
      <c r="N26" s="144" t="str">
        <f t="shared" si="4"/>
        <v>34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31</v>
      </c>
      <c r="D27" s="149" t="str">
        <f t="shared" si="1"/>
        <v>Vlastiti prihodi</v>
      </c>
      <c r="E27" s="154">
        <v>3434</v>
      </c>
      <c r="F27" s="149" t="str">
        <f t="shared" si="0"/>
        <v>Ostali nespomenuti financijski rashodi</v>
      </c>
      <c r="G27" s="201" t="s">
        <v>197</v>
      </c>
      <c r="H27" s="149" t="str">
        <f t="shared" si="2"/>
        <v>REDOVNA DJELATNOST SVEUČILIŠTA U OSIJEKU (IZ EVIDENCIJSKIH PRIHODA)</v>
      </c>
      <c r="I27" s="198">
        <v>1100</v>
      </c>
      <c r="J27" s="198">
        <v>1500</v>
      </c>
      <c r="K27" s="198">
        <v>1100</v>
      </c>
      <c r="M27" s="144" t="str">
        <f t="shared" si="3"/>
        <v>343</v>
      </c>
      <c r="N27" s="144" t="str">
        <f t="shared" si="4"/>
        <v>34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31</v>
      </c>
      <c r="D28" s="149" t="str">
        <f t="shared" si="1"/>
        <v>Vlastiti prihodi</v>
      </c>
      <c r="E28" s="154">
        <v>3121</v>
      </c>
      <c r="F28" s="149" t="str">
        <f t="shared" si="0"/>
        <v>Ostali rashodi za zaposlene</v>
      </c>
      <c r="G28" s="201" t="s">
        <v>197</v>
      </c>
      <c r="H28" s="149" t="str">
        <f t="shared" si="2"/>
        <v>REDOVNA DJELATNOST SVEUČILIŠTA U OSIJEKU (IZ EVIDENCIJSKIH PRIHODA)</v>
      </c>
      <c r="I28" s="198">
        <v>111000</v>
      </c>
      <c r="J28" s="198">
        <v>111000</v>
      </c>
      <c r="K28" s="198">
        <v>111000</v>
      </c>
      <c r="M28" s="144" t="str">
        <f t="shared" si="3"/>
        <v>312</v>
      </c>
      <c r="N28" s="144" t="str">
        <f t="shared" si="4"/>
        <v>31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31</v>
      </c>
      <c r="D29" s="149" t="str">
        <f t="shared" si="1"/>
        <v>Vlastiti prihodi</v>
      </c>
      <c r="E29" s="154">
        <v>3293</v>
      </c>
      <c r="F29" s="149" t="str">
        <f t="shared" si="0"/>
        <v>Reprezentacija</v>
      </c>
      <c r="G29" s="201" t="s">
        <v>197</v>
      </c>
      <c r="H29" s="149" t="str">
        <f t="shared" si="2"/>
        <v>REDOVNA DJELATNOST SVEUČILIŠTA U OSIJEKU (IZ EVIDENCIJSKIH PRIHODA)</v>
      </c>
      <c r="I29" s="198">
        <v>100000</v>
      </c>
      <c r="J29" s="198">
        <v>170000</v>
      </c>
      <c r="K29" s="198">
        <v>100000</v>
      </c>
      <c r="M29" s="144" t="str">
        <f t="shared" si="3"/>
        <v>329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31</v>
      </c>
      <c r="D30" s="149" t="str">
        <f t="shared" si="1"/>
        <v>Vlastiti prihodi</v>
      </c>
      <c r="E30" s="154">
        <v>3294</v>
      </c>
      <c r="F30" s="149" t="str">
        <f t="shared" si="0"/>
        <v>Članarine i norme</v>
      </c>
      <c r="G30" s="201" t="s">
        <v>197</v>
      </c>
      <c r="H30" s="149" t="str">
        <f t="shared" si="2"/>
        <v>REDOVNA DJELATNOST SVEUČILIŠTA U OSIJEKU (IZ EVIDENCIJSKIH PRIHODA)</v>
      </c>
      <c r="I30" s="198">
        <v>25750</v>
      </c>
      <c r="J30" s="198">
        <v>25800</v>
      </c>
      <c r="K30" s="198">
        <v>25750</v>
      </c>
      <c r="M30" s="144" t="str">
        <f t="shared" si="3"/>
        <v>329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31</v>
      </c>
      <c r="D31" s="149" t="str">
        <f t="shared" si="1"/>
        <v>Vlastiti prihodi</v>
      </c>
      <c r="E31" s="154">
        <v>3299</v>
      </c>
      <c r="F31" s="149" t="str">
        <f t="shared" si="0"/>
        <v>Ostali nespomenuti rashodi poslovanja</v>
      </c>
      <c r="G31" s="201" t="s">
        <v>197</v>
      </c>
      <c r="H31" s="149" t="str">
        <f t="shared" si="2"/>
        <v>REDOVNA DJELATNOST SVEUČILIŠTA U OSIJEKU (IZ EVIDENCIJSKIH PRIHODA)</v>
      </c>
      <c r="I31" s="198">
        <v>7500</v>
      </c>
      <c r="J31" s="198">
        <v>17500</v>
      </c>
      <c r="K31" s="198">
        <v>7500</v>
      </c>
      <c r="M31" s="144" t="str">
        <f t="shared" si="3"/>
        <v>329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31</v>
      </c>
      <c r="D32" s="149" t="str">
        <f t="shared" si="1"/>
        <v>Vlastiti prihodi</v>
      </c>
      <c r="E32" s="154">
        <v>3239</v>
      </c>
      <c r="F32" s="149" t="str">
        <f t="shared" si="0"/>
        <v>Ostale usluge</v>
      </c>
      <c r="G32" s="201" t="s">
        <v>197</v>
      </c>
      <c r="H32" s="149" t="str">
        <f t="shared" si="2"/>
        <v>REDOVNA DJELATNOST SVEUČILIŠTA U OSIJEKU (IZ EVIDENCIJSKIH PRIHODA)</v>
      </c>
      <c r="I32" s="198">
        <v>20000</v>
      </c>
      <c r="J32" s="198">
        <v>25000</v>
      </c>
      <c r="K32" s="198">
        <v>20000</v>
      </c>
      <c r="M32" s="144" t="str">
        <f t="shared" si="3"/>
        <v>323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11</v>
      </c>
      <c r="D33" s="149" t="str">
        <f t="shared" si="1"/>
        <v>Opći prihodi i primici</v>
      </c>
      <c r="E33" s="154">
        <v>3231</v>
      </c>
      <c r="F33" s="149" t="str">
        <f t="shared" si="0"/>
        <v>Usluge telefona, pošte i prijevoza</v>
      </c>
      <c r="G33" s="201" t="s">
        <v>864</v>
      </c>
      <c r="H33" s="149" t="str">
        <f t="shared" si="2"/>
        <v>PROGRAMSKO FINANCIRANJE JAVNIH VISOKIH UČILIŠTA</v>
      </c>
      <c r="I33" s="198">
        <v>16000</v>
      </c>
      <c r="J33" s="198">
        <v>16320</v>
      </c>
      <c r="K33" s="198">
        <v>16320</v>
      </c>
      <c r="M33" s="144" t="str">
        <f t="shared" si="3"/>
        <v>323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11</v>
      </c>
      <c r="D34" s="149" t="str">
        <f t="shared" si="1"/>
        <v>Opći prihodi i primici</v>
      </c>
      <c r="E34" s="154">
        <v>3232</v>
      </c>
      <c r="F34" s="149" t="str">
        <f t="shared" si="0"/>
        <v>Usluge tekućeg i investicijskog održavanja</v>
      </c>
      <c r="G34" s="201" t="s">
        <v>864</v>
      </c>
      <c r="H34" s="149" t="str">
        <f t="shared" si="2"/>
        <v>PROGRAMSKO FINANCIRANJE JAVNIH VISOKIH UČILIŠTA</v>
      </c>
      <c r="I34" s="198">
        <v>135000</v>
      </c>
      <c r="J34" s="198">
        <v>137700</v>
      </c>
      <c r="K34" s="198">
        <v>137700</v>
      </c>
      <c r="M34" s="144" t="str">
        <f t="shared" si="3"/>
        <v>323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11</v>
      </c>
      <c r="D35" s="149" t="str">
        <f t="shared" si="1"/>
        <v>Opći prihodi i primici</v>
      </c>
      <c r="E35" s="154">
        <v>3234</v>
      </c>
      <c r="F35" s="149" t="str">
        <f t="shared" si="0"/>
        <v>Komunalne usluge</v>
      </c>
      <c r="G35" s="201" t="s">
        <v>864</v>
      </c>
      <c r="H35" s="149" t="str">
        <f t="shared" si="2"/>
        <v>PROGRAMSKO FINANCIRANJE JAVNIH VISOKIH UČILIŠTA</v>
      </c>
      <c r="I35" s="198">
        <v>75000</v>
      </c>
      <c r="J35" s="198">
        <v>76500</v>
      </c>
      <c r="K35" s="198">
        <v>76500</v>
      </c>
      <c r="M35" s="144" t="str">
        <f t="shared" si="3"/>
        <v>323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11</v>
      </c>
      <c r="D36" s="149" t="str">
        <f t="shared" si="1"/>
        <v>Opći prihodi i primici</v>
      </c>
      <c r="E36" s="154">
        <v>3235</v>
      </c>
      <c r="F36" s="149" t="str">
        <f t="shared" si="0"/>
        <v>Zakupnine i najamnine</v>
      </c>
      <c r="G36" s="201" t="s">
        <v>864</v>
      </c>
      <c r="H36" s="149" t="str">
        <f t="shared" si="2"/>
        <v>PROGRAMSKO FINANCIRANJE JAVNIH VISOKIH UČILIŠTA</v>
      </c>
      <c r="I36" s="198">
        <v>13500</v>
      </c>
      <c r="J36" s="198">
        <v>13770</v>
      </c>
      <c r="K36" s="198">
        <v>13770</v>
      </c>
      <c r="M36" s="144" t="str">
        <f t="shared" si="3"/>
        <v>323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11</v>
      </c>
      <c r="D37" s="149" t="str">
        <f t="shared" si="1"/>
        <v>Opći prihodi i primici</v>
      </c>
      <c r="E37" s="154">
        <v>3237</v>
      </c>
      <c r="F37" s="149" t="str">
        <f t="shared" si="0"/>
        <v>Intelektualne i osobne usluge</v>
      </c>
      <c r="G37" s="201" t="s">
        <v>864</v>
      </c>
      <c r="H37" s="149" t="str">
        <f t="shared" si="2"/>
        <v>PROGRAMSKO FINANCIRANJE JAVNIH VISOKIH UČILIŠTA</v>
      </c>
      <c r="I37" s="198">
        <v>35865</v>
      </c>
      <c r="J37" s="198">
        <v>36582</v>
      </c>
      <c r="K37" s="198">
        <v>36582</v>
      </c>
      <c r="M37" s="144" t="str">
        <f t="shared" si="3"/>
        <v>323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11</v>
      </c>
      <c r="D38" s="149" t="str">
        <f t="shared" si="1"/>
        <v>Opći prihodi i primici</v>
      </c>
      <c r="E38" s="154">
        <v>3238</v>
      </c>
      <c r="F38" s="149" t="str">
        <f t="shared" si="0"/>
        <v>Računalne usluge</v>
      </c>
      <c r="G38" s="201" t="s">
        <v>864</v>
      </c>
      <c r="H38" s="149" t="str">
        <f t="shared" si="2"/>
        <v>PROGRAMSKO FINANCIRANJE JAVNIH VISOKIH UČILIŠTA</v>
      </c>
      <c r="I38" s="198">
        <v>22000</v>
      </c>
      <c r="J38" s="198">
        <v>22440</v>
      </c>
      <c r="K38" s="198">
        <v>22440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11</v>
      </c>
      <c r="D39" s="149" t="str">
        <f t="shared" si="1"/>
        <v>Opći prihodi i primici</v>
      </c>
      <c r="E39" s="154">
        <v>3241</v>
      </c>
      <c r="F39" s="149" t="str">
        <f t="shared" si="0"/>
        <v>Naknade troškova osobama izvan radnog odnosa</v>
      </c>
      <c r="G39" s="201" t="s">
        <v>864</v>
      </c>
      <c r="H39" s="149" t="str">
        <f t="shared" si="2"/>
        <v>PROGRAMSKO FINANCIRANJE JAVNIH VISOKIH UČILIŠTA</v>
      </c>
      <c r="I39" s="198">
        <v>69637</v>
      </c>
      <c r="J39" s="198">
        <v>71030</v>
      </c>
      <c r="K39" s="198">
        <v>71030</v>
      </c>
      <c r="M39" s="144" t="str">
        <f t="shared" si="3"/>
        <v>324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31</v>
      </c>
      <c r="D40" s="149" t="str">
        <f t="shared" si="1"/>
        <v>Vlastiti prihodi</v>
      </c>
      <c r="E40" s="154">
        <v>4224</v>
      </c>
      <c r="F40" s="149" t="str">
        <f t="shared" si="0"/>
        <v>Medicinska i laboratorijska oprema</v>
      </c>
      <c r="G40" s="201" t="s">
        <v>197</v>
      </c>
      <c r="H40" s="149" t="str">
        <f t="shared" si="2"/>
        <v>REDOVNA DJELATNOST SVEUČILIŠTA U OSIJEKU (IZ EVIDENCIJSKIH PRIHODA)</v>
      </c>
      <c r="I40" s="198">
        <v>45000</v>
      </c>
      <c r="J40" s="198">
        <v>194105</v>
      </c>
      <c r="K40" s="198">
        <v>45200</v>
      </c>
      <c r="M40" s="144" t="str">
        <f t="shared" si="3"/>
        <v>422</v>
      </c>
      <c r="N40" s="144" t="str">
        <f t="shared" si="4"/>
        <v>42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4212</v>
      </c>
      <c r="F41" s="149" t="str">
        <f t="shared" si="0"/>
        <v>Poslovni objekti</v>
      </c>
      <c r="G41" s="201" t="s">
        <v>197</v>
      </c>
      <c r="H41" s="149" t="str">
        <f t="shared" si="2"/>
        <v>REDOVNA DJELATNOST SVEUČILIŠTA U OSIJEKU (IZ EVIDENCIJSKIH PRIHODA)</v>
      </c>
      <c r="I41" s="198">
        <v>1287233</v>
      </c>
      <c r="J41" s="198">
        <v>0</v>
      </c>
      <c r="K41" s="198">
        <v>0</v>
      </c>
      <c r="M41" s="144" t="str">
        <f t="shared" si="3"/>
        <v>421</v>
      </c>
      <c r="N41" s="144" t="str">
        <f t="shared" si="4"/>
        <v>42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43</v>
      </c>
      <c r="D42" s="149" t="str">
        <f t="shared" si="1"/>
        <v>Ostali prihodi za posebne namjene</v>
      </c>
      <c r="E42" s="154">
        <v>4212</v>
      </c>
      <c r="F42" s="149" t="str">
        <f t="shared" si="0"/>
        <v>Poslovni objekti</v>
      </c>
      <c r="G42" s="201" t="s">
        <v>197</v>
      </c>
      <c r="H42" s="149" t="str">
        <f t="shared" si="2"/>
        <v>REDOVNA DJELATNOST SVEUČILIŠTA U OSIJEKU (IZ EVIDENCIJSKIH PRIHODA)</v>
      </c>
      <c r="I42" s="198">
        <v>5413317</v>
      </c>
      <c r="J42" s="198">
        <v>0</v>
      </c>
      <c r="K42" s="198">
        <v>0</v>
      </c>
      <c r="M42" s="144" t="str">
        <f t="shared" si="3"/>
        <v>421</v>
      </c>
      <c r="N42" s="144" t="str">
        <f t="shared" si="4"/>
        <v>42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43</v>
      </c>
      <c r="D43" s="149" t="str">
        <f t="shared" si="1"/>
        <v>Ostali prihodi za posebne namjene</v>
      </c>
      <c r="E43" s="154">
        <v>3111</v>
      </c>
      <c r="F43" s="149" t="str">
        <f t="shared" si="0"/>
        <v>Plaće za redovan rad</v>
      </c>
      <c r="G43" s="201" t="s">
        <v>197</v>
      </c>
      <c r="H43" s="149" t="str">
        <f t="shared" si="2"/>
        <v>REDOVNA DJELATNOST SVEUČILIŠTA U OSIJEKU (IZ EVIDENCIJSKIH PRIHODA)</v>
      </c>
      <c r="I43" s="198">
        <v>771294</v>
      </c>
      <c r="J43" s="198">
        <v>779006.94</v>
      </c>
      <c r="K43" s="198">
        <v>782863.41</v>
      </c>
      <c r="M43" s="144" t="str">
        <f t="shared" si="3"/>
        <v>311</v>
      </c>
      <c r="N43" s="144" t="str">
        <f t="shared" si="4"/>
        <v>31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43</v>
      </c>
      <c r="D44" s="149" t="str">
        <f t="shared" si="1"/>
        <v>Ostali prihodi za posebne namjene</v>
      </c>
      <c r="E44" s="154">
        <v>3132</v>
      </c>
      <c r="F44" s="149" t="str">
        <f t="shared" si="0"/>
        <v>Doprinosi za obvezno zdravstveno osiguranje</v>
      </c>
      <c r="G44" s="201" t="s">
        <v>197</v>
      </c>
      <c r="H44" s="149" t="str">
        <f t="shared" si="2"/>
        <v>REDOVNA DJELATNOST SVEUČILIŠTA U OSIJEKU (IZ EVIDENCIJSKIH PRIHODA)</v>
      </c>
      <c r="I44" s="198">
        <v>127263</v>
      </c>
      <c r="J44" s="198">
        <v>128535.63</v>
      </c>
      <c r="K44" s="198">
        <v>129171.94500000001</v>
      </c>
      <c r="M44" s="144" t="str">
        <f t="shared" si="3"/>
        <v>313</v>
      </c>
      <c r="N44" s="144" t="str">
        <f t="shared" si="4"/>
        <v>31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43</v>
      </c>
      <c r="D45" s="149" t="str">
        <f t="shared" si="1"/>
        <v>Ostali prihodi za posebne namjene</v>
      </c>
      <c r="E45" s="154">
        <v>3212</v>
      </c>
      <c r="F45" s="149" t="str">
        <f t="shared" si="0"/>
        <v>Naknade za prijevoz, za rad na terenu i odvojeni život</v>
      </c>
      <c r="G45" s="201" t="s">
        <v>197</v>
      </c>
      <c r="H45" s="149" t="str">
        <f t="shared" si="2"/>
        <v>REDOVNA DJELATNOST SVEUČILIŠTA U OSIJEKU (IZ EVIDENCIJSKIH PRIHODA)</v>
      </c>
      <c r="I45" s="198">
        <v>12833</v>
      </c>
      <c r="J45" s="198">
        <v>12961.33</v>
      </c>
      <c r="K45" s="198">
        <v>13025.495000000001</v>
      </c>
      <c r="M45" s="144" t="str">
        <f t="shared" si="3"/>
        <v>321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43</v>
      </c>
      <c r="D46" s="149" t="str">
        <f t="shared" si="1"/>
        <v>Ostali prihodi za posebne namjene</v>
      </c>
      <c r="E46" s="154">
        <v>3121</v>
      </c>
      <c r="F46" s="149" t="str">
        <f t="shared" si="0"/>
        <v>Ostali rashodi za zaposlene</v>
      </c>
      <c r="G46" s="201" t="s">
        <v>197</v>
      </c>
      <c r="H46" s="149" t="str">
        <f t="shared" si="2"/>
        <v>REDOVNA DJELATNOST SVEUČILIŠTA U OSIJEKU (IZ EVIDENCIJSKIH PRIHODA)</v>
      </c>
      <c r="I46" s="198">
        <v>17500</v>
      </c>
      <c r="J46" s="198">
        <v>17675</v>
      </c>
      <c r="K46" s="198">
        <v>17762.5</v>
      </c>
      <c r="M46" s="144" t="str">
        <f t="shared" si="3"/>
        <v>312</v>
      </c>
      <c r="N46" s="144" t="str">
        <f t="shared" si="4"/>
        <v>31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43</v>
      </c>
      <c r="D47" s="149" t="str">
        <f t="shared" si="1"/>
        <v>Ostali prihodi za posebne namjene</v>
      </c>
      <c r="E47" s="154">
        <v>3222</v>
      </c>
      <c r="F47" s="149" t="str">
        <f t="shared" si="0"/>
        <v>Materijal i sirovine</v>
      </c>
      <c r="G47" s="201" t="s">
        <v>197</v>
      </c>
      <c r="H47" s="149" t="str">
        <f t="shared" si="2"/>
        <v>REDOVNA DJELATNOST SVEUČILIŠTA U OSIJEKU (IZ EVIDENCIJSKIH PRIHODA)</v>
      </c>
      <c r="I47" s="198">
        <v>150000</v>
      </c>
      <c r="J47" s="198">
        <v>151500</v>
      </c>
      <c r="K47" s="198">
        <v>152250</v>
      </c>
      <c r="M47" s="144" t="str">
        <f t="shared" si="3"/>
        <v>322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43</v>
      </c>
      <c r="D48" s="149" t="str">
        <f t="shared" si="1"/>
        <v>Ostali prihodi za posebne namjene</v>
      </c>
      <c r="E48" s="154">
        <v>3721</v>
      </c>
      <c r="F48" s="149" t="str">
        <f t="shared" si="0"/>
        <v>Naknade građanima i kućanstvima u novcu</v>
      </c>
      <c r="G48" s="201" t="s">
        <v>197</v>
      </c>
      <c r="H48" s="149" t="str">
        <f t="shared" si="2"/>
        <v>REDOVNA DJELATNOST SVEUČILIŠTA U OSIJEKU (IZ EVIDENCIJSKIH PRIHODA)</v>
      </c>
      <c r="I48" s="198">
        <v>55000</v>
      </c>
      <c r="J48" s="198">
        <v>55550</v>
      </c>
      <c r="K48" s="198">
        <v>55825</v>
      </c>
      <c r="M48" s="144" t="str">
        <f t="shared" si="3"/>
        <v>372</v>
      </c>
      <c r="N48" s="144" t="str">
        <f t="shared" si="4"/>
        <v>37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43</v>
      </c>
      <c r="D49" s="149" t="str">
        <f t="shared" si="1"/>
        <v>Ostali prihodi za posebne namjene</v>
      </c>
      <c r="E49" s="154">
        <v>4225</v>
      </c>
      <c r="F49" s="149" t="str">
        <f t="shared" si="0"/>
        <v>Instrumenti, uređaji i strojevi</v>
      </c>
      <c r="G49" s="201" t="s">
        <v>197</v>
      </c>
      <c r="H49" s="149" t="str">
        <f t="shared" si="2"/>
        <v>REDOVNA DJELATNOST SVEUČILIŠTA U OSIJEKU (IZ EVIDENCIJSKIH PRIHODA)</v>
      </c>
      <c r="I49" s="198">
        <v>585501</v>
      </c>
      <c r="J49" s="198">
        <v>1125511</v>
      </c>
      <c r="K49" s="198">
        <v>1004377</v>
      </c>
      <c r="M49" s="144" t="str">
        <f t="shared" si="3"/>
        <v>422</v>
      </c>
      <c r="N49" s="144" t="str">
        <f t="shared" si="4"/>
        <v>42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61</v>
      </c>
      <c r="D50" s="149" t="str">
        <f t="shared" si="1"/>
        <v>Donacije</v>
      </c>
      <c r="E50" s="154">
        <v>3111</v>
      </c>
      <c r="F50" s="149" t="str">
        <f t="shared" si="0"/>
        <v>Plaće za redovan rad</v>
      </c>
      <c r="G50" s="201" t="s">
        <v>197</v>
      </c>
      <c r="H50" s="149" t="str">
        <f t="shared" si="2"/>
        <v>REDOVNA DJELATNOST SVEUČILIŠTA U OSIJEKU (IZ EVIDENCIJSKIH PRIHODA)</v>
      </c>
      <c r="I50" s="198">
        <v>329509</v>
      </c>
      <c r="J50" s="198">
        <v>332804.09000000003</v>
      </c>
      <c r="K50" s="198">
        <v>334451.63500000001</v>
      </c>
      <c r="M50" s="144" t="str">
        <f t="shared" si="3"/>
        <v>311</v>
      </c>
      <c r="N50" s="144" t="str">
        <f t="shared" si="4"/>
        <v>31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61</v>
      </c>
      <c r="D51" s="149" t="str">
        <f t="shared" si="1"/>
        <v>Donacije</v>
      </c>
      <c r="E51" s="154">
        <v>3132</v>
      </c>
      <c r="F51" s="149" t="str">
        <f t="shared" si="0"/>
        <v>Doprinosi za obvezno zdravstveno osiguranje</v>
      </c>
      <c r="G51" s="201" t="s">
        <v>197</v>
      </c>
      <c r="H51" s="149" t="str">
        <f t="shared" si="2"/>
        <v>REDOVNA DJELATNOST SVEUČILIŠTA U OSIJEKU (IZ EVIDENCIJSKIH PRIHODA)</v>
      </c>
      <c r="I51" s="198">
        <v>54369</v>
      </c>
      <c r="J51" s="198">
        <v>54912.69</v>
      </c>
      <c r="K51" s="198">
        <v>55184.535000000003</v>
      </c>
      <c r="M51" s="144" t="str">
        <f t="shared" si="3"/>
        <v>313</v>
      </c>
      <c r="N51" s="144" t="str">
        <f t="shared" si="4"/>
        <v>31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61</v>
      </c>
      <c r="D52" s="149" t="str">
        <f t="shared" si="1"/>
        <v>Donacije</v>
      </c>
      <c r="E52" s="154">
        <v>3212</v>
      </c>
      <c r="F52" s="149" t="str">
        <f t="shared" si="0"/>
        <v>Naknade za prijevoz, za rad na terenu i odvojeni život</v>
      </c>
      <c r="G52" s="201" t="s">
        <v>197</v>
      </c>
      <c r="H52" s="149" t="str">
        <f t="shared" si="2"/>
        <v>REDOVNA DJELATNOST SVEUČILIŠTA U OSIJEKU (IZ EVIDENCIJSKIH PRIHODA)</v>
      </c>
      <c r="I52" s="198">
        <v>10083</v>
      </c>
      <c r="J52" s="198">
        <v>10183.83</v>
      </c>
      <c r="K52" s="198">
        <v>10234.245000000001</v>
      </c>
      <c r="M52" s="144" t="str">
        <f t="shared" si="3"/>
        <v>321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61</v>
      </c>
      <c r="D53" s="149" t="str">
        <f t="shared" si="1"/>
        <v>Donacije</v>
      </c>
      <c r="E53" s="154">
        <v>3121</v>
      </c>
      <c r="F53" s="149" t="str">
        <f t="shared" si="0"/>
        <v>Ostali rashodi za zaposlene</v>
      </c>
      <c r="G53" s="201" t="s">
        <v>197</v>
      </c>
      <c r="H53" s="149" t="str">
        <f t="shared" si="2"/>
        <v>REDOVNA DJELATNOST SVEUČILIŠTA U OSIJEKU (IZ EVIDENCIJSKIH PRIHODA)</v>
      </c>
      <c r="I53" s="198">
        <v>7500</v>
      </c>
      <c r="J53" s="198">
        <v>7575</v>
      </c>
      <c r="K53" s="198">
        <v>7612.5</v>
      </c>
      <c r="M53" s="144" t="str">
        <f t="shared" si="3"/>
        <v>312</v>
      </c>
      <c r="N53" s="144" t="str">
        <f t="shared" si="4"/>
        <v>31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61</v>
      </c>
      <c r="D54" s="149" t="str">
        <f t="shared" si="1"/>
        <v>Donacije</v>
      </c>
      <c r="E54" s="154">
        <v>4224</v>
      </c>
      <c r="F54" s="149" t="str">
        <f t="shared" si="0"/>
        <v>Medicinska i laboratorijska oprema</v>
      </c>
      <c r="G54" s="201" t="s">
        <v>197</v>
      </c>
      <c r="H54" s="149" t="str">
        <f t="shared" si="2"/>
        <v>REDOVNA DJELATNOST SVEUČILIŠTA U OSIJEKU (IZ EVIDENCIJSKIH PRIHODA)</v>
      </c>
      <c r="I54" s="198">
        <v>429000</v>
      </c>
      <c r="J54" s="198">
        <v>433290</v>
      </c>
      <c r="K54" s="198">
        <v>435435</v>
      </c>
      <c r="M54" s="144" t="str">
        <f t="shared" si="3"/>
        <v>422</v>
      </c>
      <c r="N54" s="144" t="str">
        <f t="shared" si="4"/>
        <v>42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61</v>
      </c>
      <c r="D55" s="149" t="str">
        <f t="shared" si="1"/>
        <v>Donacije</v>
      </c>
      <c r="E55" s="154">
        <v>3222</v>
      </c>
      <c r="F55" s="149" t="str">
        <f t="shared" si="0"/>
        <v>Materijal i sirovine</v>
      </c>
      <c r="G55" s="201" t="s">
        <v>197</v>
      </c>
      <c r="H55" s="149" t="str">
        <f t="shared" si="2"/>
        <v>REDOVNA DJELATNOST SVEUČILIŠTA U OSIJEKU (IZ EVIDENCIJSKIH PRIHODA)</v>
      </c>
      <c r="I55" s="198">
        <v>56250</v>
      </c>
      <c r="J55" s="198">
        <v>56812.5</v>
      </c>
      <c r="K55" s="198">
        <v>57093.75</v>
      </c>
      <c r="M55" s="144" t="str">
        <f t="shared" si="3"/>
        <v>322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61</v>
      </c>
      <c r="D56" s="149" t="str">
        <f t="shared" si="1"/>
        <v>Donacije</v>
      </c>
      <c r="E56" s="154">
        <v>3211</v>
      </c>
      <c r="F56" s="149" t="str">
        <f t="shared" si="0"/>
        <v>Službena putovanja</v>
      </c>
      <c r="G56" s="201" t="s">
        <v>197</v>
      </c>
      <c r="H56" s="149" t="str">
        <f t="shared" si="2"/>
        <v>REDOVNA DJELATNOST SVEUČILIŠTA U OSIJEKU (IZ EVIDENCIJSKIH PRIHODA)</v>
      </c>
      <c r="I56" s="198">
        <v>85000</v>
      </c>
      <c r="J56" s="198">
        <v>85850</v>
      </c>
      <c r="K56" s="198">
        <v>86275</v>
      </c>
      <c r="M56" s="144" t="str">
        <f t="shared" si="3"/>
        <v>321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61</v>
      </c>
      <c r="D57" s="149" t="str">
        <f t="shared" si="1"/>
        <v>Donacije</v>
      </c>
      <c r="E57" s="154">
        <v>3213</v>
      </c>
      <c r="F57" s="149" t="str">
        <f t="shared" si="0"/>
        <v>Stručno usavršavanje zaposlenika</v>
      </c>
      <c r="G57" s="201" t="s">
        <v>197</v>
      </c>
      <c r="H57" s="149" t="str">
        <f t="shared" si="2"/>
        <v>REDOVNA DJELATNOST SVEUČILIŠTA U OSIJEKU (IZ EVIDENCIJSKIH PRIHODA)</v>
      </c>
      <c r="I57" s="198">
        <v>11000</v>
      </c>
      <c r="J57" s="198">
        <v>11110</v>
      </c>
      <c r="K57" s="198">
        <v>11165</v>
      </c>
      <c r="M57" s="144" t="str">
        <f t="shared" si="3"/>
        <v>321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61</v>
      </c>
      <c r="D58" s="149" t="str">
        <f t="shared" si="1"/>
        <v>Donacije</v>
      </c>
      <c r="E58" s="154">
        <v>3232</v>
      </c>
      <c r="F58" s="149" t="str">
        <f t="shared" si="0"/>
        <v>Usluge tekućeg i investicijskog održavanja</v>
      </c>
      <c r="G58" s="201" t="s">
        <v>197</v>
      </c>
      <c r="H58" s="149" t="str">
        <f t="shared" si="2"/>
        <v>REDOVNA DJELATNOST SVEUČILIŠTA U OSIJEKU (IZ EVIDENCIJSKIH PRIHODA)</v>
      </c>
      <c r="I58" s="198">
        <v>52000</v>
      </c>
      <c r="J58" s="198">
        <v>52520</v>
      </c>
      <c r="K58" s="198">
        <v>52780</v>
      </c>
      <c r="M58" s="144" t="str">
        <f t="shared" si="3"/>
        <v>323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61</v>
      </c>
      <c r="D59" s="149" t="str">
        <f t="shared" si="1"/>
        <v>Donacije</v>
      </c>
      <c r="E59" s="154">
        <v>3233</v>
      </c>
      <c r="F59" s="149" t="str">
        <f t="shared" si="0"/>
        <v>Usluge promidžbe i informiranja</v>
      </c>
      <c r="G59" s="201" t="s">
        <v>197</v>
      </c>
      <c r="H59" s="149" t="str">
        <f t="shared" si="2"/>
        <v>REDOVNA DJELATNOST SVEUČILIŠTA U OSIJEKU (IZ EVIDENCIJSKIH PRIHODA)</v>
      </c>
      <c r="I59" s="198">
        <v>8000</v>
      </c>
      <c r="J59" s="198">
        <v>8080</v>
      </c>
      <c r="K59" s="198">
        <v>8120</v>
      </c>
      <c r="M59" s="144" t="str">
        <f t="shared" si="3"/>
        <v>323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43</v>
      </c>
      <c r="D60" s="149" t="str">
        <f t="shared" si="1"/>
        <v>Ostali prihodi za posebne namjene</v>
      </c>
      <c r="E60" s="154">
        <v>3211</v>
      </c>
      <c r="F60" s="149" t="str">
        <f t="shared" si="0"/>
        <v>Službena putovanja</v>
      </c>
      <c r="G60" s="201" t="s">
        <v>197</v>
      </c>
      <c r="H60" s="149" t="str">
        <f t="shared" si="2"/>
        <v>REDOVNA DJELATNOST SVEUČILIŠTA U OSIJEKU (IZ EVIDENCIJSKIH PRIHODA)</v>
      </c>
      <c r="I60" s="198">
        <v>206400</v>
      </c>
      <c r="J60" s="198">
        <v>208464</v>
      </c>
      <c r="K60" s="198">
        <v>209496</v>
      </c>
      <c r="M60" s="144" t="str">
        <f t="shared" si="3"/>
        <v>321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43</v>
      </c>
      <c r="D61" s="149" t="str">
        <f t="shared" si="1"/>
        <v>Ostali prihodi za posebne namjene</v>
      </c>
      <c r="E61" s="154">
        <v>3213</v>
      </c>
      <c r="F61" s="149" t="str">
        <f t="shared" si="0"/>
        <v>Stručno usavršavanje zaposlenika</v>
      </c>
      <c r="G61" s="201" t="s">
        <v>197</v>
      </c>
      <c r="H61" s="149" t="str">
        <f t="shared" si="2"/>
        <v>REDOVNA DJELATNOST SVEUČILIŠTA U OSIJEKU (IZ EVIDENCIJSKIH PRIHODA)</v>
      </c>
      <c r="I61" s="198">
        <v>50250</v>
      </c>
      <c r="J61" s="198">
        <v>50752.5</v>
      </c>
      <c r="K61" s="198">
        <v>51003.75</v>
      </c>
      <c r="M61" s="144" t="str">
        <f t="shared" si="3"/>
        <v>321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43</v>
      </c>
      <c r="D62" s="149" t="str">
        <f t="shared" si="1"/>
        <v>Ostali prihodi za posebne namjene</v>
      </c>
      <c r="E62" s="154">
        <v>3221</v>
      </c>
      <c r="F62" s="149" t="str">
        <f t="shared" si="0"/>
        <v>Uredski materijal i ostali materijalni rashodi</v>
      </c>
      <c r="G62" s="201" t="s">
        <v>197</v>
      </c>
      <c r="H62" s="149" t="str">
        <f t="shared" si="2"/>
        <v>REDOVNA DJELATNOST SVEUČILIŠTA U OSIJEKU (IZ EVIDENCIJSKIH PRIHODA)</v>
      </c>
      <c r="I62" s="198">
        <v>138600</v>
      </c>
      <c r="J62" s="198">
        <v>139986</v>
      </c>
      <c r="K62" s="198">
        <v>140679</v>
      </c>
      <c r="M62" s="144" t="str">
        <f t="shared" si="3"/>
        <v>322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43</v>
      </c>
      <c r="D63" s="149" t="str">
        <f t="shared" si="1"/>
        <v>Ostali prihodi za posebne namjene</v>
      </c>
      <c r="E63" s="154">
        <v>3222</v>
      </c>
      <c r="F63" s="149" t="str">
        <f t="shared" si="0"/>
        <v>Materijal i sirovine</v>
      </c>
      <c r="G63" s="201" t="s">
        <v>197</v>
      </c>
      <c r="H63" s="149" t="str">
        <f t="shared" si="2"/>
        <v>REDOVNA DJELATNOST SVEUČILIŠTA U OSIJEKU (IZ EVIDENCIJSKIH PRIHODA)</v>
      </c>
      <c r="I63" s="198">
        <v>50000</v>
      </c>
      <c r="J63" s="198">
        <v>50500</v>
      </c>
      <c r="K63" s="198">
        <v>50750</v>
      </c>
      <c r="M63" s="144" t="str">
        <f t="shared" si="3"/>
        <v>322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43</v>
      </c>
      <c r="D64" s="149" t="str">
        <f t="shared" si="1"/>
        <v>Ostali prihodi za posebne namjene</v>
      </c>
      <c r="E64" s="154">
        <v>3223</v>
      </c>
      <c r="F64" s="149" t="str">
        <f t="shared" si="0"/>
        <v>Energija</v>
      </c>
      <c r="G64" s="201" t="s">
        <v>197</v>
      </c>
      <c r="H64" s="149" t="str">
        <f t="shared" si="2"/>
        <v>REDOVNA DJELATNOST SVEUČILIŠTA U OSIJEKU (IZ EVIDENCIJSKIH PRIHODA)</v>
      </c>
      <c r="I64" s="198">
        <v>300243</v>
      </c>
      <c r="J64" s="198">
        <v>303245.43</v>
      </c>
      <c r="K64" s="198">
        <v>304746.64500000002</v>
      </c>
      <c r="M64" s="144" t="str">
        <f t="shared" si="3"/>
        <v>322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43</v>
      </c>
      <c r="D65" s="149" t="str">
        <f t="shared" si="1"/>
        <v>Ostali prihodi za posebne namjene</v>
      </c>
      <c r="E65" s="154">
        <v>3224</v>
      </c>
      <c r="F65" s="149" t="str">
        <f t="shared" si="0"/>
        <v>Materijal i dijelovi za tekuće i investicijsko održavanje</v>
      </c>
      <c r="G65" s="201" t="s">
        <v>197</v>
      </c>
      <c r="H65" s="149" t="str">
        <f t="shared" si="2"/>
        <v>REDOVNA DJELATNOST SVEUČILIŠTA U OSIJEKU (IZ EVIDENCIJSKIH PRIHODA)</v>
      </c>
      <c r="I65" s="198">
        <v>103923</v>
      </c>
      <c r="J65" s="198">
        <v>104962.23</v>
      </c>
      <c r="K65" s="198">
        <v>105481.845</v>
      </c>
      <c r="M65" s="144" t="str">
        <f t="shared" si="3"/>
        <v>322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43</v>
      </c>
      <c r="D66" s="149" t="str">
        <f t="shared" si="1"/>
        <v>Ostali prihodi za posebne namjene</v>
      </c>
      <c r="E66" s="154">
        <v>3225</v>
      </c>
      <c r="F66" s="149" t="str">
        <f t="shared" si="0"/>
        <v>Sitni inventar i auto gume</v>
      </c>
      <c r="G66" s="201" t="s">
        <v>197</v>
      </c>
      <c r="H66" s="149" t="str">
        <f t="shared" si="2"/>
        <v>REDOVNA DJELATNOST SVEUČILIŠTA U OSIJEKU (IZ EVIDENCIJSKIH PRIHODA)</v>
      </c>
      <c r="I66" s="198">
        <v>11200</v>
      </c>
      <c r="J66" s="198">
        <v>11312</v>
      </c>
      <c r="K66" s="198">
        <v>11368</v>
      </c>
      <c r="M66" s="144" t="str">
        <f t="shared" si="3"/>
        <v>322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43</v>
      </c>
      <c r="D67" s="149" t="str">
        <f t="shared" si="1"/>
        <v>Ostali prihodi za posebne namjene</v>
      </c>
      <c r="E67" s="154">
        <v>3232</v>
      </c>
      <c r="F67" s="149" t="str">
        <f t="shared" ref="F67:F130" si="11">IFERROR(VLOOKUP(E67,$R$5:$T$129,2,FALSE),"")</f>
        <v>Usluge tekućeg i investicijskog održavanja</v>
      </c>
      <c r="G67" s="201" t="s">
        <v>197</v>
      </c>
      <c r="H67" s="149" t="str">
        <f t="shared" si="2"/>
        <v>REDOVNA DJELATNOST SVEUČILIŠTA U OSIJEKU (IZ EVIDENCIJSKIH PRIHODA)</v>
      </c>
      <c r="I67" s="198">
        <v>41000</v>
      </c>
      <c r="J67" s="198">
        <v>41410</v>
      </c>
      <c r="K67" s="198">
        <v>41615</v>
      </c>
      <c r="M67" s="144" t="str">
        <f t="shared" si="3"/>
        <v>323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43</v>
      </c>
      <c r="D68" s="149" t="str">
        <f t="shared" ref="D68:D131" si="12">IFERROR(VLOOKUP(C68,$O$6:$P$16,2,FALSE),"")</f>
        <v>Ostali prihodi za posebne namjene</v>
      </c>
      <c r="E68" s="154">
        <v>3233</v>
      </c>
      <c r="F68" s="149" t="str">
        <f t="shared" si="11"/>
        <v>Usluge promidžbe i informiranja</v>
      </c>
      <c r="G68" s="201" t="s">
        <v>197</v>
      </c>
      <c r="H68" s="149" t="str">
        <f t="shared" ref="H68:H131" si="13">IFERROR(VLOOKUP(G68,$X$6:$Y$50,2,FALSE),"")</f>
        <v>REDOVNA DJELATNOST SVEUČILIŠTA U OSIJEKU (IZ EVIDENCIJSKIH PRIHODA)</v>
      </c>
      <c r="I68" s="198">
        <v>52700</v>
      </c>
      <c r="J68" s="198">
        <v>53227</v>
      </c>
      <c r="K68" s="198">
        <v>53490.5</v>
      </c>
      <c r="M68" s="144" t="str">
        <f t="shared" ref="M68:M131" si="14">LEFT(E68,3)</f>
        <v>323</v>
      </c>
      <c r="N68" s="144" t="str">
        <f t="shared" ref="N68:N131" si="15">LEFT(E68,2)</f>
        <v>32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2"/>
        <v>Ostali prihodi za posebne namjene</v>
      </c>
      <c r="E69" s="154">
        <v>3236</v>
      </c>
      <c r="F69" s="149" t="str">
        <f t="shared" si="11"/>
        <v>Zdravstvene i veterinarske usluge</v>
      </c>
      <c r="G69" s="201" t="s">
        <v>197</v>
      </c>
      <c r="H69" s="149" t="str">
        <f t="shared" si="13"/>
        <v>REDOVNA DJELATNOST SVEUČILIŠTA U OSIJEKU (IZ EVIDENCIJSKIH PRIHODA)</v>
      </c>
      <c r="I69" s="198">
        <v>23900</v>
      </c>
      <c r="J69" s="198">
        <v>24139</v>
      </c>
      <c r="K69" s="198">
        <v>24258.5</v>
      </c>
      <c r="M69" s="144" t="str">
        <f t="shared" si="14"/>
        <v>323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43</v>
      </c>
      <c r="D70" s="149" t="str">
        <f t="shared" si="12"/>
        <v>Ostali prihodi za posebne namjene</v>
      </c>
      <c r="E70" s="154">
        <v>3237</v>
      </c>
      <c r="F70" s="149" t="str">
        <f t="shared" si="11"/>
        <v>Intelektualne i osobne usluge</v>
      </c>
      <c r="G70" s="201" t="s">
        <v>197</v>
      </c>
      <c r="H70" s="149" t="str">
        <f t="shared" si="13"/>
        <v>REDOVNA DJELATNOST SVEUČILIŠTA U OSIJEKU (IZ EVIDENCIJSKIH PRIHODA)</v>
      </c>
      <c r="I70" s="198">
        <v>262133</v>
      </c>
      <c r="J70" s="198">
        <v>264754.33</v>
      </c>
      <c r="K70" s="198">
        <v>266064.995</v>
      </c>
      <c r="M70" s="144" t="str">
        <f t="shared" si="14"/>
        <v>323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43</v>
      </c>
      <c r="D71" s="149" t="str">
        <f t="shared" si="12"/>
        <v>Ostali prihodi za posebne namjene</v>
      </c>
      <c r="E71" s="154">
        <v>3238</v>
      </c>
      <c r="F71" s="149" t="str">
        <f t="shared" si="11"/>
        <v>Računalne usluge</v>
      </c>
      <c r="G71" s="201" t="s">
        <v>197</v>
      </c>
      <c r="H71" s="149" t="str">
        <f t="shared" si="13"/>
        <v>REDOVNA DJELATNOST SVEUČILIŠTA U OSIJEKU (IZ EVIDENCIJSKIH PRIHODA)</v>
      </c>
      <c r="I71" s="198">
        <v>5700</v>
      </c>
      <c r="J71" s="198">
        <v>5757</v>
      </c>
      <c r="K71" s="198">
        <v>5785.5</v>
      </c>
      <c r="M71" s="144" t="str">
        <f t="shared" si="14"/>
        <v>323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43</v>
      </c>
      <c r="D72" s="149" t="str">
        <f t="shared" si="12"/>
        <v>Ostali prihodi za posebne namjene</v>
      </c>
      <c r="E72" s="154">
        <v>3239</v>
      </c>
      <c r="F72" s="149" t="str">
        <f t="shared" si="11"/>
        <v>Ostale usluge</v>
      </c>
      <c r="G72" s="201" t="s">
        <v>197</v>
      </c>
      <c r="H72" s="149" t="str">
        <f t="shared" si="13"/>
        <v>REDOVNA DJELATNOST SVEUČILIŠTA U OSIJEKU (IZ EVIDENCIJSKIH PRIHODA)</v>
      </c>
      <c r="I72" s="198">
        <v>65063</v>
      </c>
      <c r="J72" s="198">
        <v>65713.63</v>
      </c>
      <c r="K72" s="198">
        <v>66038.945000000007</v>
      </c>
      <c r="M72" s="144" t="str">
        <f t="shared" si="14"/>
        <v>323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43</v>
      </c>
      <c r="D73" s="149" t="str">
        <f t="shared" si="12"/>
        <v>Ostali prihodi za posebne namjene</v>
      </c>
      <c r="E73" s="154">
        <v>3241</v>
      </c>
      <c r="F73" s="149" t="str">
        <f t="shared" si="11"/>
        <v>Naknade troškova osobama izvan radnog odnosa</v>
      </c>
      <c r="G73" s="201" t="s">
        <v>197</v>
      </c>
      <c r="H73" s="149" t="str">
        <f t="shared" si="13"/>
        <v>REDOVNA DJELATNOST SVEUČILIŠTA U OSIJEKU (IZ EVIDENCIJSKIH PRIHODA)</v>
      </c>
      <c r="I73" s="198">
        <v>64813</v>
      </c>
      <c r="J73" s="198">
        <v>65461.13</v>
      </c>
      <c r="K73" s="198">
        <v>65785.195000000007</v>
      </c>
      <c r="M73" s="144" t="str">
        <f t="shared" si="14"/>
        <v>324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43</v>
      </c>
      <c r="D74" s="149" t="str">
        <f t="shared" si="12"/>
        <v>Ostali prihodi za posebne namjene</v>
      </c>
      <c r="E74" s="154">
        <v>3293</v>
      </c>
      <c r="F74" s="149" t="str">
        <f t="shared" si="11"/>
        <v>Reprezentacija</v>
      </c>
      <c r="G74" s="201" t="s">
        <v>197</v>
      </c>
      <c r="H74" s="149" t="str">
        <f t="shared" si="13"/>
        <v>REDOVNA DJELATNOST SVEUČILIŠTA U OSIJEKU (IZ EVIDENCIJSKIH PRIHODA)</v>
      </c>
      <c r="I74" s="198">
        <v>125000</v>
      </c>
      <c r="J74" s="198">
        <v>126250</v>
      </c>
      <c r="K74" s="198">
        <v>126875</v>
      </c>
      <c r="M74" s="144" t="str">
        <f t="shared" si="14"/>
        <v>329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43</v>
      </c>
      <c r="D75" s="149" t="str">
        <f t="shared" si="12"/>
        <v>Ostali prihodi za posebne namjene</v>
      </c>
      <c r="E75" s="154">
        <v>3299</v>
      </c>
      <c r="F75" s="149" t="str">
        <f t="shared" si="11"/>
        <v>Ostali nespomenuti rashodi poslovanja</v>
      </c>
      <c r="G75" s="201" t="s">
        <v>197</v>
      </c>
      <c r="H75" s="149" t="str">
        <f t="shared" si="13"/>
        <v>REDOVNA DJELATNOST SVEUČILIŠTA U OSIJEKU (IZ EVIDENCIJSKIH PRIHODA)</v>
      </c>
      <c r="I75" s="198">
        <v>5000</v>
      </c>
      <c r="J75" s="198">
        <v>5050</v>
      </c>
      <c r="K75" s="198">
        <v>5075</v>
      </c>
      <c r="M75" s="144" t="str">
        <f t="shared" si="14"/>
        <v>329</v>
      </c>
      <c r="N75" s="144" t="str">
        <f t="shared" si="15"/>
        <v>32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43</v>
      </c>
      <c r="D76" s="149" t="str">
        <f t="shared" si="12"/>
        <v>Ostali prihodi za posebne namjene</v>
      </c>
      <c r="E76" s="154">
        <v>4221</v>
      </c>
      <c r="F76" s="149" t="str">
        <f t="shared" si="11"/>
        <v>Uredska oprema i namještaj</v>
      </c>
      <c r="G76" s="201" t="s">
        <v>197</v>
      </c>
      <c r="H76" s="149" t="str">
        <f t="shared" si="13"/>
        <v>REDOVNA DJELATNOST SVEUČILIŠTA U OSIJEKU (IZ EVIDENCIJSKIH PRIHODA)</v>
      </c>
      <c r="I76" s="198">
        <v>245000</v>
      </c>
      <c r="J76" s="198">
        <v>247450</v>
      </c>
      <c r="K76" s="198">
        <v>248675</v>
      </c>
      <c r="M76" s="144" t="str">
        <f t="shared" si="14"/>
        <v>422</v>
      </c>
      <c r="N76" s="144" t="str">
        <f t="shared" si="15"/>
        <v>42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43</v>
      </c>
      <c r="D77" s="149" t="str">
        <f t="shared" si="12"/>
        <v>Ostali prihodi za posebne namjene</v>
      </c>
      <c r="E77" s="154">
        <v>4223</v>
      </c>
      <c r="F77" s="149" t="str">
        <f t="shared" si="11"/>
        <v>Oprema za održavanje i zaštitu</v>
      </c>
      <c r="G77" s="201" t="s">
        <v>197</v>
      </c>
      <c r="H77" s="149" t="str">
        <f t="shared" si="13"/>
        <v>REDOVNA DJELATNOST SVEUČILIŠTA U OSIJEKU (IZ EVIDENCIJSKIH PRIHODA)</v>
      </c>
      <c r="I77" s="198">
        <v>32000</v>
      </c>
      <c r="J77" s="198">
        <v>32320</v>
      </c>
      <c r="K77" s="198">
        <v>32480</v>
      </c>
      <c r="M77" s="144" t="str">
        <f t="shared" si="14"/>
        <v>422</v>
      </c>
      <c r="N77" s="144" t="str">
        <f t="shared" si="15"/>
        <v>42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43</v>
      </c>
      <c r="D78" s="149" t="str">
        <f t="shared" si="12"/>
        <v>Ostali prihodi za posebne namjene</v>
      </c>
      <c r="E78" s="154">
        <v>4225</v>
      </c>
      <c r="F78" s="149" t="str">
        <f t="shared" si="11"/>
        <v>Instrumenti, uređaji i strojevi</v>
      </c>
      <c r="G78" s="201" t="s">
        <v>197</v>
      </c>
      <c r="H78" s="149" t="str">
        <f t="shared" si="13"/>
        <v>REDOVNA DJELATNOST SVEUČILIŠTA U OSIJEKU (IZ EVIDENCIJSKIH PRIHODA)</v>
      </c>
      <c r="I78" s="198">
        <v>200000</v>
      </c>
      <c r="J78" s="198">
        <v>202000</v>
      </c>
      <c r="K78" s="198">
        <v>203000</v>
      </c>
      <c r="M78" s="144" t="str">
        <f t="shared" si="14"/>
        <v>422</v>
      </c>
      <c r="N78" s="144" t="str">
        <f t="shared" si="15"/>
        <v>42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43</v>
      </c>
      <c r="D79" s="149" t="str">
        <f t="shared" si="12"/>
        <v>Ostali prihodi za posebne namjene</v>
      </c>
      <c r="E79" s="154">
        <v>4227</v>
      </c>
      <c r="F79" s="149" t="str">
        <f t="shared" si="11"/>
        <v>Uređaji, strojevi i oprema za ostale namjene</v>
      </c>
      <c r="G79" s="201" t="s">
        <v>197</v>
      </c>
      <c r="H79" s="149" t="str">
        <f t="shared" si="13"/>
        <v>REDOVNA DJELATNOST SVEUČILIŠTA U OSIJEKU (IZ EVIDENCIJSKIH PRIHODA)</v>
      </c>
      <c r="I79" s="198">
        <v>192000</v>
      </c>
      <c r="J79" s="198">
        <v>193920</v>
      </c>
      <c r="K79" s="198">
        <v>194880</v>
      </c>
      <c r="M79" s="144" t="str">
        <f t="shared" si="14"/>
        <v>422</v>
      </c>
      <c r="N79" s="144" t="str">
        <f t="shared" si="15"/>
        <v>42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43</v>
      </c>
      <c r="D80" s="149" t="str">
        <f t="shared" si="12"/>
        <v>Ostali prihodi za posebne namjene</v>
      </c>
      <c r="E80" s="154">
        <v>4262</v>
      </c>
      <c r="F80" s="149" t="str">
        <f t="shared" si="11"/>
        <v>Ulaganja u računalne programe</v>
      </c>
      <c r="G80" s="201" t="s">
        <v>197</v>
      </c>
      <c r="H80" s="149" t="str">
        <f t="shared" si="13"/>
        <v>REDOVNA DJELATNOST SVEUČILIŠTA U OSIJEKU (IZ EVIDENCIJSKIH PRIHODA)</v>
      </c>
      <c r="I80" s="198">
        <v>11000</v>
      </c>
      <c r="J80" s="198">
        <v>11110</v>
      </c>
      <c r="K80" s="198">
        <v>11165</v>
      </c>
      <c r="M80" s="144" t="str">
        <f t="shared" si="14"/>
        <v>426</v>
      </c>
      <c r="N80" s="144" t="str">
        <f t="shared" si="15"/>
        <v>42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71</v>
      </c>
      <c r="D81" s="149" t="str">
        <f t="shared" si="12"/>
        <v>Prihodi od nefin. imovine i nadoknade štete s osnova osig.</v>
      </c>
      <c r="E81" s="154">
        <v>4241</v>
      </c>
      <c r="F81" s="149" t="str">
        <f t="shared" si="11"/>
        <v>Knjige</v>
      </c>
      <c r="G81" s="201" t="s">
        <v>197</v>
      </c>
      <c r="H81" s="149" t="str">
        <f t="shared" si="13"/>
        <v>REDOVNA DJELATNOST SVEUČILIŠTA U OSIJEKU (IZ EVIDENCIJSKIH PRIHODA)</v>
      </c>
      <c r="I81" s="198">
        <v>5000</v>
      </c>
      <c r="J81" s="198">
        <v>5000</v>
      </c>
      <c r="K81" s="198">
        <v>5000</v>
      </c>
      <c r="M81" s="144" t="str">
        <f t="shared" si="14"/>
        <v>424</v>
      </c>
      <c r="N81" s="144" t="str">
        <f t="shared" si="15"/>
        <v>42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52</v>
      </c>
      <c r="D82" s="149" t="str">
        <f t="shared" si="12"/>
        <v>Ostale pomoći</v>
      </c>
      <c r="E82" s="154">
        <v>3721</v>
      </c>
      <c r="F82" s="149" t="str">
        <f t="shared" si="11"/>
        <v>Naknade građanima i kućanstvima u novcu</v>
      </c>
      <c r="G82" s="201" t="s">
        <v>197</v>
      </c>
      <c r="H82" s="149" t="str">
        <f t="shared" si="13"/>
        <v>REDOVNA DJELATNOST SVEUČILIŠTA U OSIJEKU (IZ EVIDENCIJSKIH PRIHODA)</v>
      </c>
      <c r="I82" s="198">
        <v>3500000</v>
      </c>
      <c r="J82" s="198">
        <v>3500000</v>
      </c>
      <c r="K82" s="198">
        <v>3500000</v>
      </c>
      <c r="M82" s="144" t="str">
        <f t="shared" si="14"/>
        <v>372</v>
      </c>
      <c r="N82" s="144" t="str">
        <f t="shared" si="15"/>
        <v>37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52</v>
      </c>
      <c r="D83" s="149" t="str">
        <f t="shared" si="12"/>
        <v>Ostale pomoći</v>
      </c>
      <c r="E83" s="154">
        <v>3211</v>
      </c>
      <c r="F83" s="149" t="str">
        <f t="shared" si="11"/>
        <v>Službena putovanja</v>
      </c>
      <c r="G83" s="201" t="s">
        <v>111</v>
      </c>
      <c r="H83" s="149" t="str">
        <f t="shared" si="13"/>
        <v>EU PROJEKTI SVEUČILIŠTA U OSIJEKU (IZ EVIDENCIJSKIH PRIHODA)</v>
      </c>
      <c r="I83" s="198">
        <v>120000</v>
      </c>
      <c r="J83" s="198">
        <v>120000</v>
      </c>
      <c r="K83" s="198">
        <v>120000</v>
      </c>
      <c r="M83" s="144" t="str">
        <f t="shared" si="14"/>
        <v>321</v>
      </c>
      <c r="N83" s="144" t="str">
        <f t="shared" si="15"/>
        <v>32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561</v>
      </c>
      <c r="D84" s="149" t="str">
        <f t="shared" si="12"/>
        <v>Europski socijalni fond (ESF)</v>
      </c>
      <c r="E84" s="154">
        <v>3693</v>
      </c>
      <c r="F84" s="149" t="str">
        <f t="shared" si="11"/>
        <v>Tekući prijenosi između proračunskih korisnika istog proraču</v>
      </c>
      <c r="G84" s="252" t="s">
        <v>897</v>
      </c>
      <c r="H84" s="149" t="str">
        <f t="shared" si="13"/>
        <v>OP UČINKOVITI LJUDSKI POTENCIJALI 2014.-2020., PRIORITET 3</v>
      </c>
      <c r="I84" s="198">
        <v>377715</v>
      </c>
      <c r="J84" s="198">
        <v>0</v>
      </c>
      <c r="K84" s="198">
        <v>0</v>
      </c>
      <c r="M84" s="144" t="str">
        <f t="shared" si="14"/>
        <v>369</v>
      </c>
      <c r="N84" s="144" t="str">
        <f t="shared" si="15"/>
        <v>36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561</v>
      </c>
      <c r="D85" s="149" t="str">
        <f t="shared" si="12"/>
        <v>Europski socijalni fond (ESF)</v>
      </c>
      <c r="E85" s="154">
        <v>3231</v>
      </c>
      <c r="F85" s="149" t="str">
        <f t="shared" si="11"/>
        <v>Usluge telefona, pošte i prijevoza</v>
      </c>
      <c r="G85" s="252" t="s">
        <v>897</v>
      </c>
      <c r="H85" s="149" t="str">
        <f t="shared" si="13"/>
        <v>OP UČINKOVITI LJUDSKI POTENCIJALI 2014.-2020., PRIORITET 3</v>
      </c>
      <c r="I85" s="198">
        <v>56657</v>
      </c>
      <c r="J85" s="198">
        <v>0</v>
      </c>
      <c r="K85" s="198">
        <v>0</v>
      </c>
      <c r="M85" s="144" t="str">
        <f t="shared" si="14"/>
        <v>323</v>
      </c>
      <c r="N85" s="144" t="str">
        <f t="shared" si="15"/>
        <v>32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561</v>
      </c>
      <c r="D86" s="149" t="str">
        <f t="shared" si="12"/>
        <v>Europski socijalni fond (ESF)</v>
      </c>
      <c r="E86" s="154">
        <v>3222</v>
      </c>
      <c r="F86" s="149" t="str">
        <f t="shared" si="11"/>
        <v>Materijal i sirovine</v>
      </c>
      <c r="G86" s="252" t="s">
        <v>897</v>
      </c>
      <c r="H86" s="149" t="str">
        <f t="shared" si="13"/>
        <v>OP UČINKOVITI LJUDSKI POTENCIJALI 2014.-2020., PRIORITET 3</v>
      </c>
      <c r="I86" s="198">
        <v>16203</v>
      </c>
      <c r="J86" s="198">
        <v>0</v>
      </c>
      <c r="K86" s="198">
        <v>0</v>
      </c>
      <c r="M86" s="144" t="str">
        <f t="shared" si="14"/>
        <v>322</v>
      </c>
      <c r="N86" s="144" t="str">
        <f t="shared" si="15"/>
        <v>32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561</v>
      </c>
      <c r="D87" s="149" t="str">
        <f t="shared" si="12"/>
        <v>Europski socijalni fond (ESF)</v>
      </c>
      <c r="E87" s="154">
        <v>3241</v>
      </c>
      <c r="F87" s="149" t="str">
        <f t="shared" si="11"/>
        <v>Naknade troškova osobama izvan radnog odnosa</v>
      </c>
      <c r="G87" s="252" t="s">
        <v>897</v>
      </c>
      <c r="H87" s="149" t="str">
        <f t="shared" si="13"/>
        <v>OP UČINKOVITI LJUDSKI POTENCIJALI 2014.-2020., PRIORITET 3</v>
      </c>
      <c r="I87" s="198">
        <v>33000</v>
      </c>
      <c r="J87" s="198">
        <v>0</v>
      </c>
      <c r="K87" s="198">
        <v>0</v>
      </c>
      <c r="M87" s="144" t="str">
        <f t="shared" si="14"/>
        <v>324</v>
      </c>
      <c r="N87" s="144" t="str">
        <f t="shared" si="15"/>
        <v>32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561</v>
      </c>
      <c r="D88" s="149" t="str">
        <f t="shared" si="12"/>
        <v>Europski socijalni fond (ESF)</v>
      </c>
      <c r="E88" s="154">
        <v>3237</v>
      </c>
      <c r="F88" s="149" t="str">
        <f t="shared" si="11"/>
        <v>Intelektualne i osobne usluge</v>
      </c>
      <c r="G88" s="252" t="s">
        <v>897</v>
      </c>
      <c r="H88" s="149" t="str">
        <f t="shared" si="13"/>
        <v>OP UČINKOVITI LJUDSKI POTENCIJALI 2014.-2020., PRIORITET 3</v>
      </c>
      <c r="I88" s="198">
        <v>222455</v>
      </c>
      <c r="J88" s="198">
        <v>0</v>
      </c>
      <c r="K88" s="198">
        <v>0</v>
      </c>
      <c r="M88" s="144" t="str">
        <f t="shared" si="14"/>
        <v>323</v>
      </c>
      <c r="N88" s="144" t="str">
        <f t="shared" si="15"/>
        <v>32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561</v>
      </c>
      <c r="D89" s="149" t="str">
        <f t="shared" si="12"/>
        <v>Europski socijalni fond (ESF)</v>
      </c>
      <c r="E89" s="154">
        <v>3211</v>
      </c>
      <c r="F89" s="149" t="str">
        <f t="shared" si="11"/>
        <v>Službena putovanja</v>
      </c>
      <c r="G89" s="252" t="s">
        <v>897</v>
      </c>
      <c r="H89" s="149" t="str">
        <f t="shared" si="13"/>
        <v>OP UČINKOVITI LJUDSKI POTENCIJALI 2014.-2020., PRIORITET 3</v>
      </c>
      <c r="I89" s="198">
        <v>91850</v>
      </c>
      <c r="J89" s="198">
        <v>0</v>
      </c>
      <c r="K89" s="198">
        <v>0</v>
      </c>
      <c r="M89" s="144" t="str">
        <f t="shared" si="14"/>
        <v>321</v>
      </c>
      <c r="N89" s="144" t="str">
        <f t="shared" si="15"/>
        <v>32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561</v>
      </c>
      <c r="D90" s="149" t="str">
        <f t="shared" si="12"/>
        <v>Europski socijalni fond (ESF)</v>
      </c>
      <c r="E90" s="154">
        <v>3293</v>
      </c>
      <c r="F90" s="149" t="str">
        <f t="shared" si="11"/>
        <v>Reprezentacija</v>
      </c>
      <c r="G90" s="252" t="s">
        <v>897</v>
      </c>
      <c r="H90" s="149" t="str">
        <f t="shared" si="13"/>
        <v>OP UČINKOVITI LJUDSKI POTENCIJALI 2014.-2020., PRIORITET 3</v>
      </c>
      <c r="I90" s="198">
        <v>17500</v>
      </c>
      <c r="J90" s="198">
        <v>0</v>
      </c>
      <c r="K90" s="198">
        <v>0</v>
      </c>
      <c r="M90" s="144" t="str">
        <f t="shared" si="14"/>
        <v>329</v>
      </c>
      <c r="N90" s="144" t="str">
        <f t="shared" si="15"/>
        <v>32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561</v>
      </c>
      <c r="D91" s="149" t="str">
        <f t="shared" si="12"/>
        <v>Europski socijalni fond (ESF)</v>
      </c>
      <c r="E91" s="154">
        <v>3233</v>
      </c>
      <c r="F91" s="149" t="str">
        <f t="shared" si="11"/>
        <v>Usluge promidžbe i informiranja</v>
      </c>
      <c r="G91" s="252" t="s">
        <v>897</v>
      </c>
      <c r="H91" s="149" t="str">
        <f t="shared" si="13"/>
        <v>OP UČINKOVITI LJUDSKI POTENCIJALI 2014.-2020., PRIORITET 3</v>
      </c>
      <c r="I91" s="198">
        <v>22500</v>
      </c>
      <c r="J91" s="198">
        <v>0</v>
      </c>
      <c r="K91" s="198">
        <v>0</v>
      </c>
      <c r="M91" s="144" t="str">
        <f t="shared" si="14"/>
        <v>323</v>
      </c>
      <c r="N91" s="144" t="str">
        <f t="shared" si="15"/>
        <v>32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52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xWindow="265" yWindow="819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L79" sqref="L7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70" t="s">
        <v>290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4" t="s">
        <v>292</v>
      </c>
      <c r="B3" s="265"/>
      <c r="C3" s="266" t="s">
        <v>51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8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6700550</v>
      </c>
      <c r="D5" s="3"/>
      <c r="E5" s="3"/>
      <c r="F5" s="3">
        <v>1287233</v>
      </c>
      <c r="G5" s="3">
        <v>5413317</v>
      </c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30996122</v>
      </c>
      <c r="D6" s="15">
        <f t="shared" ref="D6:P6" si="1">+D26+D33</f>
        <v>20682402</v>
      </c>
      <c r="E6" s="15">
        <f t="shared" si="1"/>
        <v>0</v>
      </c>
      <c r="F6" s="15">
        <f t="shared" si="1"/>
        <v>902813</v>
      </c>
      <c r="G6" s="15">
        <f t="shared" si="1"/>
        <v>3905316</v>
      </c>
      <c r="H6" s="15">
        <f t="shared" si="1"/>
        <v>0</v>
      </c>
      <c r="I6" s="15">
        <f t="shared" si="1"/>
        <v>3620000</v>
      </c>
      <c r="J6" s="15">
        <f t="shared" si="1"/>
        <v>0</v>
      </c>
      <c r="K6" s="15">
        <f t="shared" si="1"/>
        <v>837880</v>
      </c>
      <c r="L6" s="15">
        <f t="shared" si="1"/>
        <v>0</v>
      </c>
      <c r="M6" s="15">
        <f t="shared" si="1"/>
        <v>1042711</v>
      </c>
      <c r="N6" s="15">
        <f t="shared" si="1"/>
        <v>0</v>
      </c>
      <c r="O6" s="15">
        <f t="shared" si="1"/>
        <v>5000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-197495</v>
      </c>
      <c r="D7" s="115">
        <v>0</v>
      </c>
      <c r="E7" s="115"/>
      <c r="F7" s="115">
        <v>-197495</v>
      </c>
      <c r="G7" s="115"/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37499177</v>
      </c>
      <c r="D8" s="15">
        <f>+D5+D6+D7</f>
        <v>20682402</v>
      </c>
      <c r="E8" s="15">
        <f t="shared" ref="E8:P8" si="2">+E5+E6+E7</f>
        <v>0</v>
      </c>
      <c r="F8" s="15">
        <f t="shared" si="2"/>
        <v>1992551</v>
      </c>
      <c r="G8" s="15">
        <f t="shared" si="2"/>
        <v>9318633</v>
      </c>
      <c r="H8" s="15">
        <f t="shared" si="2"/>
        <v>0</v>
      </c>
      <c r="I8" s="15">
        <f t="shared" si="2"/>
        <v>3620000</v>
      </c>
      <c r="J8" s="15">
        <f t="shared" si="2"/>
        <v>0</v>
      </c>
      <c r="K8" s="15">
        <f t="shared" si="2"/>
        <v>837880</v>
      </c>
      <c r="L8" s="15">
        <f t="shared" si="2"/>
        <v>0</v>
      </c>
      <c r="M8" s="15">
        <f t="shared" si="2"/>
        <v>1042711</v>
      </c>
      <c r="N8" s="15">
        <f t="shared" si="2"/>
        <v>0</v>
      </c>
      <c r="O8" s="15">
        <f t="shared" si="2"/>
        <v>5000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37499177</v>
      </c>
      <c r="D9" s="138">
        <f>+'PLAN RASHODA I IZDATAKA'!D3</f>
        <v>20682402</v>
      </c>
      <c r="E9" s="138">
        <f>+'PLAN RASHODA I IZDATAKA'!E3</f>
        <v>0</v>
      </c>
      <c r="F9" s="138">
        <f>+'PLAN RASHODA I IZDATAKA'!F3</f>
        <v>1992551</v>
      </c>
      <c r="G9" s="138">
        <f>+'PLAN RASHODA I IZDATAKA'!G3</f>
        <v>9318633</v>
      </c>
      <c r="H9" s="138">
        <f>+'PLAN RASHODA I IZDATAKA'!H3</f>
        <v>0</v>
      </c>
      <c r="I9" s="138">
        <f>+'PLAN RASHODA I IZDATAKA'!I3</f>
        <v>3620000</v>
      </c>
      <c r="J9" s="138">
        <f>+'PLAN RASHODA I IZDATAKA'!J3</f>
        <v>0</v>
      </c>
      <c r="K9" s="138">
        <f>+'PLAN RASHODA I IZDATAKA'!K3</f>
        <v>837880</v>
      </c>
      <c r="L9" s="138">
        <f>+'PLAN RASHODA I IZDATAKA'!L3</f>
        <v>0</v>
      </c>
      <c r="M9" s="138">
        <f>+'PLAN RASHODA I IZDATAKA'!M3</f>
        <v>1042711</v>
      </c>
      <c r="N9" s="138">
        <f>+'PLAN RASHODA I IZDATAKA'!N3</f>
        <v>0</v>
      </c>
      <c r="O9" s="138">
        <f>+'PLAN RASHODA I IZDATAKA'!O3</f>
        <v>5000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837880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837880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3620000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3620000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3905316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3905316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902813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902813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1042711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1042711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20682402</v>
      </c>
      <c r="D23" s="204">
        <f>SUMIFS('Plan prihoda za unos u SAP'!$G$3:$G$501,'Plan prihoda za unos u SAP'!$C$3:$C$501,"=11",'Plan prihoda za unos u SAP'!$K$3:$K$501,"=671")</f>
        <v>20682402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30991122</v>
      </c>
      <c r="D26" s="4">
        <f t="shared" ref="D26:P26" si="6">SUM(D11:D25)</f>
        <v>20682402</v>
      </c>
      <c r="E26" s="4">
        <f t="shared" si="6"/>
        <v>0</v>
      </c>
      <c r="F26" s="4">
        <f t="shared" si="6"/>
        <v>902813</v>
      </c>
      <c r="G26" s="4">
        <f t="shared" si="6"/>
        <v>3905316</v>
      </c>
      <c r="H26" s="4">
        <f t="shared" si="6"/>
        <v>0</v>
      </c>
      <c r="I26" s="4">
        <f t="shared" si="6"/>
        <v>3620000</v>
      </c>
      <c r="J26" s="4">
        <f t="shared" si="6"/>
        <v>0</v>
      </c>
      <c r="K26" s="4">
        <f t="shared" si="6"/>
        <v>837880</v>
      </c>
      <c r="L26" s="4">
        <f t="shared" si="6"/>
        <v>0</v>
      </c>
      <c r="M26" s="4">
        <f t="shared" si="6"/>
        <v>1042711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5000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5000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5000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5000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9" t="s">
        <v>339</v>
      </c>
      <c r="B37" s="269"/>
      <c r="C37" s="72">
        <f>SUM(D37:P37)</f>
        <v>30996122</v>
      </c>
      <c r="D37" s="72">
        <f t="shared" ref="D37:P37" si="9">+D36+D33+D26</f>
        <v>20682402</v>
      </c>
      <c r="E37" s="72">
        <f t="shared" si="9"/>
        <v>0</v>
      </c>
      <c r="F37" s="72">
        <f t="shared" si="9"/>
        <v>902813</v>
      </c>
      <c r="G37" s="72">
        <f t="shared" si="9"/>
        <v>3905316</v>
      </c>
      <c r="H37" s="72">
        <f t="shared" si="9"/>
        <v>0</v>
      </c>
      <c r="I37" s="72">
        <f t="shared" si="9"/>
        <v>3620000</v>
      </c>
      <c r="J37" s="72">
        <f t="shared" si="9"/>
        <v>0</v>
      </c>
      <c r="K37" s="72">
        <f t="shared" si="9"/>
        <v>837880</v>
      </c>
      <c r="L37" s="72">
        <f t="shared" si="9"/>
        <v>0</v>
      </c>
      <c r="M37" s="72">
        <f t="shared" si="9"/>
        <v>1042711</v>
      </c>
      <c r="N37" s="72">
        <f t="shared" si="9"/>
        <v>0</v>
      </c>
      <c r="O37" s="72">
        <f t="shared" si="9"/>
        <v>5000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4" t="s">
        <v>292</v>
      </c>
      <c r="B39" s="265"/>
      <c r="C39" s="266" t="s">
        <v>54</v>
      </c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8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197495</v>
      </c>
      <c r="D41" s="203">
        <f t="shared" ref="D41:P41" si="11">-D7</f>
        <v>0</v>
      </c>
      <c r="E41" s="203">
        <f t="shared" si="11"/>
        <v>0</v>
      </c>
      <c r="F41" s="203">
        <f t="shared" si="11"/>
        <v>197495</v>
      </c>
      <c r="G41" s="203">
        <f t="shared" si="11"/>
        <v>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31260334</v>
      </c>
      <c r="D42" s="15">
        <f t="shared" ref="D42:P42" si="12">+D62+D69</f>
        <v>21140994</v>
      </c>
      <c r="E42" s="15">
        <f t="shared" si="12"/>
        <v>0</v>
      </c>
      <c r="F42" s="15">
        <f t="shared" si="12"/>
        <v>962678</v>
      </c>
      <c r="G42" s="15">
        <f t="shared" si="12"/>
        <v>4478524</v>
      </c>
      <c r="H42" s="15">
        <f t="shared" si="12"/>
        <v>0</v>
      </c>
      <c r="I42" s="15">
        <f t="shared" si="12"/>
        <v>3620000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1053138</v>
      </c>
      <c r="N42" s="15">
        <f t="shared" si="12"/>
        <v>0</v>
      </c>
      <c r="O42" s="15">
        <f t="shared" si="12"/>
        <v>5000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-150000</v>
      </c>
      <c r="D43" s="115"/>
      <c r="E43" s="115"/>
      <c r="F43" s="115">
        <v>-150000</v>
      </c>
      <c r="G43" s="115"/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31307829</v>
      </c>
      <c r="D44" s="15">
        <f>+D41+D42+D43</f>
        <v>21140994</v>
      </c>
      <c r="E44" s="15">
        <f t="shared" ref="E44:P44" si="13">+E41+E42+E43</f>
        <v>0</v>
      </c>
      <c r="F44" s="15">
        <f t="shared" si="13"/>
        <v>1010173</v>
      </c>
      <c r="G44" s="15">
        <f t="shared" si="13"/>
        <v>4478524</v>
      </c>
      <c r="H44" s="15">
        <f t="shared" si="13"/>
        <v>0</v>
      </c>
      <c r="I44" s="15">
        <f t="shared" si="13"/>
        <v>3620000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1053138</v>
      </c>
      <c r="N44" s="15">
        <f t="shared" si="13"/>
        <v>0</v>
      </c>
      <c r="O44" s="15">
        <f t="shared" si="13"/>
        <v>5000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31307829.259999998</v>
      </c>
      <c r="D45" s="138">
        <f>+'PLAN RASHODA I IZDATAKA'!D71</f>
        <v>21140994</v>
      </c>
      <c r="E45" s="138">
        <f>+'PLAN RASHODA I IZDATAKA'!E71</f>
        <v>0</v>
      </c>
      <c r="F45" s="138">
        <f>+'PLAN RASHODA I IZDATAKA'!F71</f>
        <v>1010173</v>
      </c>
      <c r="G45" s="138">
        <f>+'PLAN RASHODA I IZDATAKA'!G71</f>
        <v>4478524.1500000004</v>
      </c>
      <c r="H45" s="138">
        <f>+'PLAN RASHODA I IZDATAKA'!H71</f>
        <v>0</v>
      </c>
      <c r="I45" s="138">
        <f>+'PLAN RASHODA I IZDATAKA'!I71</f>
        <v>3620000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1053138.1100000001</v>
      </c>
      <c r="N45" s="138">
        <f>+'PLAN RASHODA I IZDATAKA'!N71</f>
        <v>0</v>
      </c>
      <c r="O45" s="138">
        <f>+'PLAN RASHODA I IZDATAKA'!O71</f>
        <v>5000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-0.26000000047497451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-0.15000000037252903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-0.11000000010244548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3620000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3620000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4478524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4478524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962678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962678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1053138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1053138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21140994</v>
      </c>
      <c r="D59" s="204">
        <f>SUMIFS('Plan prihoda za unos u SAP'!$H$3:$H$501,'Plan prihoda za unos u SAP'!$C$3:$C$501,"=11",'Plan prihoda za unos u SAP'!$K$3:$K$501,"=671")</f>
        <v>21140994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31255334</v>
      </c>
      <c r="D62" s="4">
        <f t="shared" ref="D62:P62" si="17">SUM(D47:D61)</f>
        <v>21140994</v>
      </c>
      <c r="E62" s="4">
        <f t="shared" si="17"/>
        <v>0</v>
      </c>
      <c r="F62" s="4">
        <f t="shared" si="17"/>
        <v>962678</v>
      </c>
      <c r="G62" s="4">
        <f t="shared" si="17"/>
        <v>4478524</v>
      </c>
      <c r="H62" s="4">
        <f t="shared" si="17"/>
        <v>0</v>
      </c>
      <c r="I62" s="4">
        <f t="shared" si="17"/>
        <v>3620000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1053138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5000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5000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5000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5000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9" t="s">
        <v>339</v>
      </c>
      <c r="B73" s="269"/>
      <c r="C73" s="72">
        <f>SUM(D73:P73)</f>
        <v>31260334</v>
      </c>
      <c r="D73" s="72">
        <f t="shared" ref="D73:P73" si="20">+D72+D69+D62</f>
        <v>21140994</v>
      </c>
      <c r="E73" s="72">
        <f t="shared" si="20"/>
        <v>0</v>
      </c>
      <c r="F73" s="72">
        <f t="shared" si="20"/>
        <v>962678</v>
      </c>
      <c r="G73" s="72">
        <f t="shared" si="20"/>
        <v>4478524</v>
      </c>
      <c r="H73" s="72">
        <f t="shared" si="20"/>
        <v>0</v>
      </c>
      <c r="I73" s="72">
        <f t="shared" si="20"/>
        <v>3620000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1053138</v>
      </c>
      <c r="N73" s="72">
        <f t="shared" si="20"/>
        <v>0</v>
      </c>
      <c r="O73" s="72">
        <f t="shared" si="20"/>
        <v>5000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4" t="s">
        <v>292</v>
      </c>
      <c r="B75" s="265"/>
      <c r="C75" s="266" t="s">
        <v>840</v>
      </c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8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150000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150000</v>
      </c>
      <c r="G77" s="203">
        <f t="shared" si="22"/>
        <v>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30926931</v>
      </c>
      <c r="D78" s="15">
        <f t="shared" ref="D78:P78" si="23">+D98+D105</f>
        <v>21314072</v>
      </c>
      <c r="E78" s="15">
        <f t="shared" si="23"/>
        <v>0</v>
      </c>
      <c r="F78" s="15">
        <f t="shared" si="23"/>
        <v>555518</v>
      </c>
      <c r="G78" s="15">
        <f t="shared" si="23"/>
        <v>4373989</v>
      </c>
      <c r="H78" s="15">
        <f t="shared" si="23"/>
        <v>0</v>
      </c>
      <c r="I78" s="15">
        <f t="shared" si="23"/>
        <v>3620000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1058352</v>
      </c>
      <c r="N78" s="15">
        <f t="shared" si="23"/>
        <v>0</v>
      </c>
      <c r="O78" s="15">
        <f t="shared" si="23"/>
        <v>5000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0</v>
      </c>
      <c r="D79" s="115"/>
      <c r="E79" s="115"/>
      <c r="F79" s="115"/>
      <c r="G79" s="115"/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31076931</v>
      </c>
      <c r="D80" s="15">
        <f>+D77+D78+D79</f>
        <v>21314072</v>
      </c>
      <c r="E80" s="15">
        <f t="shared" ref="E80:P80" si="24">+E77+E78+E79</f>
        <v>0</v>
      </c>
      <c r="F80" s="15">
        <f t="shared" si="24"/>
        <v>705518</v>
      </c>
      <c r="G80" s="15">
        <f t="shared" si="24"/>
        <v>4373989</v>
      </c>
      <c r="H80" s="15">
        <f t="shared" si="24"/>
        <v>0</v>
      </c>
      <c r="I80" s="15">
        <f t="shared" si="24"/>
        <v>3620000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1058352</v>
      </c>
      <c r="N80" s="15">
        <f t="shared" si="24"/>
        <v>0</v>
      </c>
      <c r="O80" s="15">
        <f t="shared" si="24"/>
        <v>5000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31076930.890000001</v>
      </c>
      <c r="D81" s="138">
        <f>+'PLAN RASHODA I IZDATAKA'!D91</f>
        <v>21314072</v>
      </c>
      <c r="E81" s="138">
        <f>+'PLAN RASHODA I IZDATAKA'!E91</f>
        <v>0</v>
      </c>
      <c r="F81" s="138">
        <f>+'PLAN RASHODA I IZDATAKA'!F91</f>
        <v>705518</v>
      </c>
      <c r="G81" s="138">
        <f>+'PLAN RASHODA I IZDATAKA'!G91</f>
        <v>4373989.2249999996</v>
      </c>
      <c r="H81" s="138">
        <f>+'PLAN RASHODA I IZDATAKA'!H91</f>
        <v>0</v>
      </c>
      <c r="I81" s="138">
        <f>+'PLAN RASHODA I IZDATAKA'!I91</f>
        <v>3620000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1058351.665</v>
      </c>
      <c r="N81" s="138">
        <f>+'PLAN RASHODA I IZDATAKA'!N91</f>
        <v>0</v>
      </c>
      <c r="O81" s="138">
        <f>+'PLAN RASHODA I IZDATAKA'!O91</f>
        <v>5000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0.11000000033527613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-0.22499999962747097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0.3349999999627471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3620000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3620000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4373989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4373989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555518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555518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1058352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1058352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21314072</v>
      </c>
      <c r="D95" s="204">
        <f>SUMIFS('Plan prihoda za unos u SAP'!$I$3:$I$501,'Plan prihoda za unos u SAP'!$C$3:$C$501,"=11",'Plan prihoda za unos u SAP'!$K$3:$K$501,"=671")</f>
        <v>21314072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30921931</v>
      </c>
      <c r="D98" s="4">
        <f t="shared" ref="D98:P98" si="28">SUM(D83:D97)</f>
        <v>21314072</v>
      </c>
      <c r="E98" s="4">
        <f t="shared" si="28"/>
        <v>0</v>
      </c>
      <c r="F98" s="4">
        <f t="shared" si="28"/>
        <v>555518</v>
      </c>
      <c r="G98" s="4">
        <f t="shared" si="28"/>
        <v>4373989</v>
      </c>
      <c r="H98" s="4">
        <f t="shared" si="28"/>
        <v>0</v>
      </c>
      <c r="I98" s="4">
        <f t="shared" si="28"/>
        <v>3620000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1058352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5000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5000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5000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5000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9" t="s">
        <v>339</v>
      </c>
      <c r="B109" s="269"/>
      <c r="C109" s="72">
        <f>SUM(D109:P109)</f>
        <v>30926931</v>
      </c>
      <c r="D109" s="72">
        <f t="shared" ref="D109:P109" si="31">+D108+D105+D98</f>
        <v>21314072</v>
      </c>
      <c r="E109" s="72">
        <f t="shared" si="31"/>
        <v>0</v>
      </c>
      <c r="F109" s="72">
        <f t="shared" si="31"/>
        <v>555518</v>
      </c>
      <c r="G109" s="72">
        <f t="shared" si="31"/>
        <v>4373989</v>
      </c>
      <c r="H109" s="72">
        <f t="shared" si="31"/>
        <v>0</v>
      </c>
      <c r="I109" s="72">
        <f t="shared" si="31"/>
        <v>3620000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1058352</v>
      </c>
      <c r="N109" s="72">
        <f t="shared" si="31"/>
        <v>0</v>
      </c>
      <c r="O109" s="72">
        <f t="shared" si="31"/>
        <v>5000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xWindow="502" yWindow="440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1" t="s">
        <v>841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37499177</v>
      </c>
      <c r="D3" s="123">
        <f t="shared" ref="D3:P3" si="0">D4+D38+D58</f>
        <v>20682402</v>
      </c>
      <c r="E3" s="123">
        <f t="shared" si="0"/>
        <v>0</v>
      </c>
      <c r="F3" s="123">
        <f t="shared" si="0"/>
        <v>1992551</v>
      </c>
      <c r="G3" s="123">
        <f t="shared" si="0"/>
        <v>9318633</v>
      </c>
      <c r="H3" s="123">
        <f t="shared" si="0"/>
        <v>0</v>
      </c>
      <c r="I3" s="123">
        <f t="shared" si="0"/>
        <v>3620000</v>
      </c>
      <c r="J3" s="123">
        <f t="shared" si="0"/>
        <v>0</v>
      </c>
      <c r="K3" s="123">
        <f t="shared" si="0"/>
        <v>837880</v>
      </c>
      <c r="L3" s="123">
        <f t="shared" si="0"/>
        <v>0</v>
      </c>
      <c r="M3" s="123">
        <f t="shared" si="0"/>
        <v>1042711</v>
      </c>
      <c r="N3" s="123">
        <f t="shared" si="0"/>
        <v>0</v>
      </c>
      <c r="O3" s="123">
        <f t="shared" si="0"/>
        <v>5000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28881426</v>
      </c>
      <c r="D4" s="127">
        <f>D5+D9+D15+D19+D23+D30+D33</f>
        <v>20509702</v>
      </c>
      <c r="E4" s="127">
        <f t="shared" ref="E4:P4" si="1">E5+E9+E15+E19+E23+E30+E33</f>
        <v>0</v>
      </c>
      <c r="F4" s="127">
        <f t="shared" si="1"/>
        <v>660318</v>
      </c>
      <c r="G4" s="127">
        <f t="shared" si="1"/>
        <v>2639815</v>
      </c>
      <c r="H4" s="127">
        <f t="shared" si="1"/>
        <v>0</v>
      </c>
      <c r="I4" s="127">
        <f t="shared" si="1"/>
        <v>3620000</v>
      </c>
      <c r="J4" s="127">
        <f t="shared" si="1"/>
        <v>0</v>
      </c>
      <c r="K4" s="127">
        <f t="shared" si="1"/>
        <v>837880</v>
      </c>
      <c r="L4" s="127">
        <f t="shared" si="1"/>
        <v>0</v>
      </c>
      <c r="M4" s="127">
        <f t="shared" si="1"/>
        <v>613711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19348132</v>
      </c>
      <c r="D5" s="13">
        <f>SUM(D6:D8)</f>
        <v>17929697</v>
      </c>
      <c r="E5" s="13">
        <f t="shared" ref="E5:P5" si="3">SUM(E6:E8)</f>
        <v>0</v>
      </c>
      <c r="F5" s="13">
        <f t="shared" si="3"/>
        <v>111000</v>
      </c>
      <c r="G5" s="13">
        <f t="shared" si="3"/>
        <v>916057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391378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16123058</v>
      </c>
      <c r="D6" s="143">
        <f>SUMIFS('Plan rashoda za unos u SAP'!$I$3:$I$501,'Plan rashoda za unos u SAP'!$C$3:$C$501,"=11",'Plan rashoda za unos u SAP'!$M$3:$M$501,"=311")</f>
        <v>15022255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0</v>
      </c>
      <c r="G6" s="143">
        <f>SUMIFS('Plan rashoda za unos u SAP'!$I$3:$I$501,'Plan rashoda za unos u SAP'!$C$3:$C$501,"=43",'Plan rashoda za unos u SAP'!$M$3:$M$501,"=311")</f>
        <v>771294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329509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564770</v>
      </c>
      <c r="D7" s="143">
        <f>SUMIFS('Plan rashoda za unos u SAP'!$I$3:$I$501,'Plan rashoda za unos u SAP'!$C$3:$C$501,"=11",'Plan rashoda za unos u SAP'!$M$3:$M$501,"=312")</f>
        <v>428770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111000</v>
      </c>
      <c r="G7" s="143">
        <f>SUMIFS('Plan rashoda za unos u SAP'!$I$3:$I$501,'Plan rashoda za unos u SAP'!$C$3:$C$501,"=43",'Plan rashoda za unos u SAP'!$M$3:$M$501,"=312")</f>
        <v>17500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7500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2660304</v>
      </c>
      <c r="D8" s="143">
        <f>SUMIFS('Plan rashoda za unos u SAP'!$I$3:$I$501,'Plan rashoda za unos u SAP'!$C$3:$C$501,"=11",'Plan rashoda za unos u SAP'!$M$3:$M$501,"=313")</f>
        <v>2478672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0</v>
      </c>
      <c r="G8" s="143">
        <f>SUMIFS('Plan rashoda za unos u SAP'!$I$3:$I$501,'Plan rashoda za unos u SAP'!$C$3:$C$501,"=43",'Plan rashoda za unos u SAP'!$M$3:$M$501,"=313")</f>
        <v>127263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54369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5505279</v>
      </c>
      <c r="D9" s="79">
        <f t="shared" ref="D9:P9" si="4">SUM(D10:D14)</f>
        <v>2528005</v>
      </c>
      <c r="E9" s="79">
        <f t="shared" si="4"/>
        <v>0</v>
      </c>
      <c r="F9" s="79">
        <f t="shared" si="4"/>
        <v>506018</v>
      </c>
      <c r="G9" s="79">
        <f t="shared" si="4"/>
        <v>1668758</v>
      </c>
      <c r="H9" s="79">
        <f t="shared" si="4"/>
        <v>0</v>
      </c>
      <c r="I9" s="79">
        <f t="shared" si="4"/>
        <v>120000</v>
      </c>
      <c r="J9" s="79">
        <f t="shared" si="4"/>
        <v>0</v>
      </c>
      <c r="K9" s="79">
        <f t="shared" si="4"/>
        <v>460165</v>
      </c>
      <c r="L9" s="79">
        <f t="shared" si="4"/>
        <v>0</v>
      </c>
      <c r="M9" s="79">
        <f t="shared" si="4"/>
        <v>222333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1745706</v>
      </c>
      <c r="D10" s="143">
        <f>SUMIFS('Plan rashoda za unos u SAP'!$I$3:$I$501,'Plan rashoda za unos u SAP'!$C$3:$C$501,"=11",'Plan rashoda za unos u SAP'!$M$3:$M$501,"=321")</f>
        <v>1088290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70000</v>
      </c>
      <c r="G10" s="143">
        <f>SUMIFS('Plan rashoda za unos u SAP'!$I$3:$I$501,'Plan rashoda za unos u SAP'!$C$3:$C$501,"=43",'Plan rashoda za unos u SAP'!$M$3:$M$501,"=321")</f>
        <v>269483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120000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91850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106083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1681835</v>
      </c>
      <c r="D11" s="143">
        <f>SUMIFS('Plan rashoda za unos u SAP'!$I$3:$I$501,'Plan rashoda za unos u SAP'!$C$3:$C$501,"=11",'Plan rashoda za unos u SAP'!$M$3:$M$501,"=322")</f>
        <v>833916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21500</v>
      </c>
      <c r="G11" s="143">
        <f>SUMIFS('Plan rashoda za unos u SAP'!$I$3:$I$501,'Plan rashoda za unos u SAP'!$C$3:$C$501,"=43",'Plan rashoda za unos u SAP'!$M$3:$M$501,"=322")</f>
        <v>753966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16203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56250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1554408</v>
      </c>
      <c r="D12" s="143">
        <f>SUMIFS('Plan rashoda za unos u SAP'!$I$3:$I$501,'Plan rashoda za unos u SAP'!$C$3:$C$501,"=11",'Plan rashoda za unos u SAP'!$M$3:$M$501,"=323")</f>
        <v>496032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246268</v>
      </c>
      <c r="G12" s="143">
        <f>SUMIFS('Plan rashoda za unos u SAP'!$I$3:$I$501,'Plan rashoda za unos u SAP'!$C$3:$C$501,"=43",'Plan rashoda za unos u SAP'!$M$3:$M$501,"=323")</f>
        <v>450496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301612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60000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202450</v>
      </c>
      <c r="D13" s="143">
        <f>SUMIFS('Plan rashoda za unos u SAP'!$I$3:$I$501,'Plan rashoda za unos u SAP'!$C$3:$C$501,"=11",'Plan rashoda za unos u SAP'!$M$3:$M$501,"=324")</f>
        <v>69637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35000</v>
      </c>
      <c r="G13" s="143">
        <f>SUMIFS('Plan rashoda za unos u SAP'!$I$3:$I$501,'Plan rashoda za unos u SAP'!$C$3:$C$501,"=43",'Plan rashoda za unos u SAP'!$M$3:$M$501,"=324")</f>
        <v>64813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33000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320880</v>
      </c>
      <c r="D14" s="143">
        <f>SUMIFS('Plan rashoda za unos u SAP'!$I$3:$I$501,'Plan rashoda za unos u SAP'!$C$3:$C$501,"=11",'Plan rashoda za unos u SAP'!$M$3:$M$501,"=329")</f>
        <v>40130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133250</v>
      </c>
      <c r="G14" s="143">
        <f>SUMIFS('Plan rashoda za unos u SAP'!$I$3:$I$501,'Plan rashoda za unos u SAP'!$C$3:$C$501,"=43",'Plan rashoda za unos u SAP'!$M$3:$M$501,"=329")</f>
        <v>130000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17500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43300</v>
      </c>
      <c r="D15" s="4">
        <f t="shared" ref="D15:P15" si="5">SUM(D16:D18)</f>
        <v>0</v>
      </c>
      <c r="E15" s="4">
        <f t="shared" si="5"/>
        <v>0</v>
      </c>
      <c r="F15" s="4">
        <f t="shared" si="5"/>
        <v>43300</v>
      </c>
      <c r="G15" s="4">
        <f t="shared" si="5"/>
        <v>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43300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43300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377715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377715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377715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377715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3607000</v>
      </c>
      <c r="D30" s="4">
        <f t="shared" ref="D30:P30" si="8">SUM(D31:D32)</f>
        <v>52000</v>
      </c>
      <c r="E30" s="4">
        <f t="shared" si="8"/>
        <v>0</v>
      </c>
      <c r="F30" s="4">
        <f t="shared" si="8"/>
        <v>0</v>
      </c>
      <c r="G30" s="4">
        <f t="shared" si="8"/>
        <v>55000</v>
      </c>
      <c r="H30" s="4">
        <f t="shared" si="8"/>
        <v>0</v>
      </c>
      <c r="I30" s="4">
        <f t="shared" si="8"/>
        <v>3500000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3607000</v>
      </c>
      <c r="D32" s="143">
        <f>SUMIFS('Plan rashoda za unos u SAP'!$I$3:$I$501,'Plan rashoda za unos u SAP'!$C$3:$C$501,"=11",'Plan rashoda za unos u SAP'!$M$3:$M$501,"=372")</f>
        <v>52000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55000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3500000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8617751</v>
      </c>
      <c r="D38" s="128">
        <f>D42+D49+D51+D53+D39</f>
        <v>172700</v>
      </c>
      <c r="E38" s="128">
        <f t="shared" ref="E38:P38" si="10">E42+E49+E51+E53+E39</f>
        <v>0</v>
      </c>
      <c r="F38" s="128">
        <f t="shared" si="10"/>
        <v>1332233</v>
      </c>
      <c r="G38" s="128">
        <f t="shared" si="10"/>
        <v>6678818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429000</v>
      </c>
      <c r="N38" s="128">
        <f t="shared" si="10"/>
        <v>0</v>
      </c>
      <c r="O38" s="128">
        <f t="shared" si="10"/>
        <v>5000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8617751</v>
      </c>
      <c r="D42" s="4">
        <f t="shared" ref="D42:P42" si="12">SUM(D43:D48)</f>
        <v>172700</v>
      </c>
      <c r="E42" s="4">
        <f t="shared" si="12"/>
        <v>0</v>
      </c>
      <c r="F42" s="4">
        <f t="shared" si="12"/>
        <v>1332233</v>
      </c>
      <c r="G42" s="4">
        <f t="shared" si="12"/>
        <v>6678818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429000</v>
      </c>
      <c r="N42" s="4">
        <f t="shared" si="12"/>
        <v>0</v>
      </c>
      <c r="O42" s="4">
        <f t="shared" si="12"/>
        <v>5000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6700550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1287233</v>
      </c>
      <c r="G43" s="143">
        <f>SUMIFS('Plan rashoda za unos u SAP'!$I$3:$I$501,'Plan rashoda za unos u SAP'!$C$3:$C$501,"=43",'Plan rashoda za unos u SAP'!$M$3:$M$501,"=421")</f>
        <v>5413317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1898201</v>
      </c>
      <c r="D44" s="143">
        <f>SUMIFS('Plan rashoda za unos u SAP'!$I$3:$I$501,'Plan rashoda za unos u SAP'!$C$3:$C$501,"=11",'Plan rashoda za unos u SAP'!$M$3:$M$501,"=422")</f>
        <v>169700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45000</v>
      </c>
      <c r="G44" s="143">
        <f>SUMIFS('Plan rashoda za unos u SAP'!$I$3:$I$501,'Plan rashoda za unos u SAP'!$C$3:$C$501,"=43",'Plan rashoda za unos u SAP'!$M$3:$M$501,"=422")</f>
        <v>1254501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429000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8000</v>
      </c>
      <c r="D46" s="143">
        <f>SUMIFS('Plan rashoda za unos u SAP'!$I$3:$I$501,'Plan rashoda za unos u SAP'!$C$3:$C$501,"=11",'Plan rashoda za unos u SAP'!$M$3:$M$501,"=424")</f>
        <v>3000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5000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11000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11000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31307829.259999998</v>
      </c>
      <c r="D71" s="123">
        <f t="shared" ref="D71:P71" si="21">+D72+D80+D86</f>
        <v>21140994</v>
      </c>
      <c r="E71" s="123">
        <f t="shared" si="21"/>
        <v>0</v>
      </c>
      <c r="F71" s="123">
        <f t="shared" si="21"/>
        <v>1010173</v>
      </c>
      <c r="G71" s="123">
        <f t="shared" si="21"/>
        <v>4478524.1500000004</v>
      </c>
      <c r="H71" s="123">
        <f t="shared" si="21"/>
        <v>0</v>
      </c>
      <c r="I71" s="123">
        <f t="shared" si="21"/>
        <v>3620000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1053138.1100000001</v>
      </c>
      <c r="N71" s="123">
        <f t="shared" si="21"/>
        <v>0</v>
      </c>
      <c r="O71" s="123">
        <f t="shared" si="21"/>
        <v>5000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28686969</v>
      </c>
      <c r="D72" s="132">
        <f t="shared" ref="D72:P72" si="22">SUM(D73:D79)</f>
        <v>20964840</v>
      </c>
      <c r="E72" s="132">
        <f t="shared" si="22"/>
        <v>0</v>
      </c>
      <c r="F72" s="132">
        <f t="shared" si="22"/>
        <v>816068</v>
      </c>
      <c r="G72" s="132">
        <f t="shared" si="22"/>
        <v>2666213.15</v>
      </c>
      <c r="H72" s="132">
        <f t="shared" si="22"/>
        <v>0</v>
      </c>
      <c r="I72" s="132">
        <f t="shared" si="22"/>
        <v>3620000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619848.1100000001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19758707</v>
      </c>
      <c r="D73" s="143">
        <f>SUMIFS('Plan rashoda za unos u SAP'!$J$3:$J$501,'Plan rashoda za unos u SAP'!$C$3:$C$501,"=11",'Plan rashoda za unos u SAP'!$N$3:$N$501,"=31")</f>
        <v>18327198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111000</v>
      </c>
      <c r="G73" s="143">
        <f>SUMIFS('Plan rashoda za unos u SAP'!$J$3:$J$501,'Plan rashoda za unos u SAP'!$C$3:$C$501,"=43",'Plan rashoda za unos u SAP'!$N$3:$N$501,"=31")</f>
        <v>925217.57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395291.78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5265672</v>
      </c>
      <c r="D74" s="143">
        <f>SUMIFS('Plan rashoda za unos u SAP'!$J$3:$J$501,'Plan rashoda za unos u SAP'!$C$3:$C$501,"=11",'Plan rashoda za unos u SAP'!$N$3:$N$501,"=32")</f>
        <v>2584602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651068</v>
      </c>
      <c r="G74" s="143">
        <f>SUMIFS('Plan rashoda za unos u SAP'!$J$3:$J$501,'Plan rashoda za unos u SAP'!$C$3:$C$501,"=43",'Plan rashoda za unos u SAP'!$N$3:$N$501,"=32")</f>
        <v>1685445.58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120000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224556.33000000002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54000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54000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3608590</v>
      </c>
      <c r="D78" s="143">
        <f>SUMIFS('Plan rashoda za unos u SAP'!$J$3:$J$501,'Plan rashoda za unos u SAP'!$C$3:$C$501,"=11",'Plan rashoda za unos u SAP'!$N$3:$N$501,"=37")</f>
        <v>53040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55550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3500000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2620860</v>
      </c>
      <c r="D80" s="133">
        <f t="shared" ref="D80:P80" si="24">SUM(D81:D85)</f>
        <v>176154</v>
      </c>
      <c r="E80" s="133">
        <f t="shared" si="24"/>
        <v>0</v>
      </c>
      <c r="F80" s="133">
        <f t="shared" si="24"/>
        <v>194105</v>
      </c>
      <c r="G80" s="133">
        <f t="shared" si="24"/>
        <v>1812311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433290</v>
      </c>
      <c r="N80" s="133">
        <f t="shared" si="24"/>
        <v>0</v>
      </c>
      <c r="O80" s="133">
        <f t="shared" si="24"/>
        <v>5000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2620860</v>
      </c>
      <c r="D82" s="143">
        <f>SUMIFS('Plan rashoda za unos u SAP'!$J$3:$J$501,'Plan rashoda za unos u SAP'!$C$3:$C$501,"=11",'Plan rashoda za unos u SAP'!$N$3:$N$501,"=42")</f>
        <v>176154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194105</v>
      </c>
      <c r="G82" s="143">
        <f>SUMIFS('Plan rashoda za unos u SAP'!$J$3:$J$501,'Plan rashoda za unos u SAP'!$C$3:$C$501,"=43",'Plan rashoda za unos u SAP'!$N$3:$N$501,"=42")</f>
        <v>1812311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433290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5000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31076930.890000001</v>
      </c>
      <c r="D91" s="123">
        <f t="shared" ref="D91:P91" si="27">D92+D100+D106</f>
        <v>21314072</v>
      </c>
      <c r="E91" s="123">
        <f t="shared" si="27"/>
        <v>0</v>
      </c>
      <c r="F91" s="123">
        <f t="shared" si="27"/>
        <v>705518</v>
      </c>
      <c r="G91" s="123">
        <f t="shared" si="27"/>
        <v>4373989.2249999996</v>
      </c>
      <c r="H91" s="123">
        <f t="shared" si="27"/>
        <v>0</v>
      </c>
      <c r="I91" s="123">
        <f t="shared" si="27"/>
        <v>3620000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1058351.665</v>
      </c>
      <c r="N91" s="123">
        <f t="shared" si="27"/>
        <v>0</v>
      </c>
      <c r="O91" s="123">
        <f t="shared" si="27"/>
        <v>5000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28720565</v>
      </c>
      <c r="D92" s="132">
        <f t="shared" ref="D92:P92" si="28">SUM(D93:D99)</f>
        <v>21137918</v>
      </c>
      <c r="E92" s="132">
        <f t="shared" si="28"/>
        <v>0</v>
      </c>
      <c r="F92" s="132">
        <f t="shared" si="28"/>
        <v>660318</v>
      </c>
      <c r="G92" s="132">
        <f t="shared" si="28"/>
        <v>2679412.2250000001</v>
      </c>
      <c r="H92" s="132">
        <f t="shared" si="28"/>
        <v>0</v>
      </c>
      <c r="I92" s="132">
        <f t="shared" si="28"/>
        <v>3620000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622916.66500000004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19934222</v>
      </c>
      <c r="D93" s="143">
        <f>SUMIFS('Plan rashoda za unos u SAP'!$K$3:$K$501,'Plan rashoda za unos u SAP'!$C$3:$C$501,"=11",'Plan rashoda za unos u SAP'!$N$3:$N$501,"=31")</f>
        <v>18496175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111000</v>
      </c>
      <c r="G93" s="143">
        <f>SUMIFS('Plan rashoda za unos u SAP'!$K$3:$K$501,'Plan rashoda za unos u SAP'!$C$3:$C$501,"=43",'Plan rashoda za unos u SAP'!$N$3:$N$501,"=31")</f>
        <v>929797.85499999998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397248.67000000004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5134178</v>
      </c>
      <c r="D94" s="143">
        <f>SUMIFS('Plan rashoda za unos u SAP'!$K$3:$K$501,'Plan rashoda za unos u SAP'!$C$3:$C$501,"=11",'Plan rashoda za unos u SAP'!$N$3:$N$501,"=32")</f>
        <v>2588703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506018</v>
      </c>
      <c r="G94" s="143">
        <f>SUMIFS('Plan rashoda za unos u SAP'!$K$3:$K$501,'Plan rashoda za unos u SAP'!$C$3:$C$501,"=43",'Plan rashoda za unos u SAP'!$N$3:$N$501,"=32")</f>
        <v>1693789.37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120000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225667.995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43300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43300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3608865</v>
      </c>
      <c r="D98" s="143">
        <f>SUMIFS('Plan rashoda za unos u SAP'!$K$3:$K$501,'Plan rashoda za unos u SAP'!$C$3:$C$501,"=11",'Plan rashoda za unos u SAP'!$N$3:$N$501,"=37")</f>
        <v>53040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55825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3500000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2356366</v>
      </c>
      <c r="D100" s="133">
        <f t="shared" ref="D100:P100" si="30">SUM(D101:D105)</f>
        <v>176154</v>
      </c>
      <c r="E100" s="133">
        <f t="shared" si="30"/>
        <v>0</v>
      </c>
      <c r="F100" s="133">
        <f t="shared" si="30"/>
        <v>45200</v>
      </c>
      <c r="G100" s="133">
        <f t="shared" si="30"/>
        <v>1694577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435435</v>
      </c>
      <c r="N100" s="133">
        <f t="shared" si="30"/>
        <v>0</v>
      </c>
      <c r="O100" s="133">
        <f t="shared" si="30"/>
        <v>5000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2356366</v>
      </c>
      <c r="D102" s="143">
        <f>SUMIFS('Plan rashoda za unos u SAP'!$K$3:$K$501,'Plan rashoda za unos u SAP'!$C$3:$C$501,"=11",'Plan rashoda za unos u SAP'!$N$3:$N$501,"=42")</f>
        <v>176154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45200</v>
      </c>
      <c r="G102" s="143">
        <f>SUMIFS('Plan rashoda za unos u SAP'!$K$3:$K$501,'Plan rashoda za unos u SAP'!$C$3:$C$501,"=43",'Plan rashoda za unos u SAP'!$N$3:$N$501,"=42")</f>
        <v>1694577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435435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5000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A13" sqref="A13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4" t="s">
        <v>240</v>
      </c>
      <c r="B10" s="276" t="s">
        <v>241</v>
      </c>
      <c r="C10" s="276" t="s">
        <v>242</v>
      </c>
      <c r="D10" s="279" t="s">
        <v>243</v>
      </c>
      <c r="E10" s="272" t="s">
        <v>853</v>
      </c>
      <c r="F10" s="272" t="s">
        <v>244</v>
      </c>
      <c r="G10" s="272" t="s">
        <v>245</v>
      </c>
      <c r="H10" s="272" t="s">
        <v>854</v>
      </c>
    </row>
    <row r="11" spans="1:8" ht="15.75" thickBot="1">
      <c r="A11" s="275"/>
      <c r="B11" s="277"/>
      <c r="C11" s="278"/>
      <c r="D11" s="280"/>
      <c r="E11" s="281"/>
      <c r="F11" s="273"/>
      <c r="G11" s="273"/>
      <c r="H11" s="273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12" sqref="A12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2" t="s">
        <v>855</v>
      </c>
      <c r="B1" s="282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52</v>
      </c>
      <c r="B3" s="149" t="str">
        <f>IFERROR(VLOOKUP(A3,$R$6:$S$16,2,FALSE),"")</f>
        <v>Ostale pomoći</v>
      </c>
      <c r="C3" s="154">
        <v>3211</v>
      </c>
      <c r="D3" s="149" t="str">
        <f t="shared" ref="D3:D66" si="0">IFERROR(VLOOKUP(C3,$U$5:$W$129,2,FALSE),"")</f>
        <v>Službena putovanja</v>
      </c>
      <c r="E3" s="252" t="s">
        <v>923</v>
      </c>
      <c r="F3" s="149" t="str">
        <f>IFERROR(VLOOKUP(E3,$AA$6:$AB$200,2,FALSE),"")</f>
        <v>ERASMUS+ projekt individualne mobilnosti nastavnog i nenastavnog osoblja kroz boravak na inozemnim ustanovama</v>
      </c>
      <c r="G3" s="198">
        <v>120000</v>
      </c>
      <c r="H3" s="198">
        <v>120000</v>
      </c>
      <c r="I3" s="198">
        <v>120000</v>
      </c>
      <c r="J3" s="226"/>
      <c r="K3" s="225"/>
      <c r="L3" s="225"/>
      <c r="M3" s="226"/>
      <c r="N3" s="226"/>
      <c r="P3" s="144" t="str">
        <f>LEFT(C3,3)</f>
        <v>321</v>
      </c>
      <c r="Q3" s="144" t="str">
        <f>LEFT(C3,2)</f>
        <v>32</v>
      </c>
    </row>
    <row r="4" spans="1:28">
      <c r="A4" s="154">
        <v>561</v>
      </c>
      <c r="B4" s="149" t="str">
        <f t="shared" ref="B4:B67" si="1">IFERROR(VLOOKUP(A4,$R$6:$S$16,2,FALSE),"")</f>
        <v>Europski socijalni fond (ESF)</v>
      </c>
      <c r="C4" s="154">
        <v>3211</v>
      </c>
      <c r="D4" s="149" t="str">
        <f t="shared" si="0"/>
        <v>Službena putovanja</v>
      </c>
      <c r="E4" s="252" t="s">
        <v>1201</v>
      </c>
      <c r="F4" s="149" t="str">
        <f t="shared" ref="F4:F67" si="2">IFERROR(VLOOKUP(E4,$AA$6:$AB$200,2,FALSE),"")</f>
        <v>Internacionalizacija visokog obrazovanja - razvoj studijskih programa na stranim jezicima u prioritetnim područjima i združenih studija</v>
      </c>
      <c r="G4" s="198">
        <v>91850</v>
      </c>
      <c r="H4" s="198">
        <v>0</v>
      </c>
      <c r="I4" s="198">
        <v>0</v>
      </c>
      <c r="J4" s="226"/>
      <c r="K4" s="225"/>
      <c r="L4" s="225"/>
      <c r="M4" s="226"/>
      <c r="N4" s="226"/>
      <c r="P4" s="144" t="str">
        <f t="shared" ref="P4:P67" si="3">LEFT(C4,3)</f>
        <v>321</v>
      </c>
      <c r="Q4" s="144" t="str">
        <f t="shared" ref="Q4:Q67" si="4">LEFT(C4,2)</f>
        <v>32</v>
      </c>
      <c r="U4" s="150"/>
      <c r="V4" s="150"/>
    </row>
    <row r="5" spans="1:28">
      <c r="A5" s="154">
        <v>561</v>
      </c>
      <c r="B5" s="149" t="str">
        <f t="shared" si="1"/>
        <v>Europski socijalni fond (ESF)</v>
      </c>
      <c r="C5" s="154">
        <v>3222</v>
      </c>
      <c r="D5" s="149" t="str">
        <f t="shared" si="0"/>
        <v>Materijal i sirovine</v>
      </c>
      <c r="E5" s="252" t="s">
        <v>1201</v>
      </c>
      <c r="F5" s="149" t="str">
        <f t="shared" si="2"/>
        <v>Internacionalizacija visokog obrazovanja - razvoj studijskih programa na stranim jezicima u prioritetnim područjima i združenih studija</v>
      </c>
      <c r="G5" s="198">
        <v>16203</v>
      </c>
      <c r="H5" s="198">
        <v>0</v>
      </c>
      <c r="I5" s="198">
        <v>0</v>
      </c>
      <c r="J5" s="226"/>
      <c r="K5" s="225"/>
      <c r="L5" s="225"/>
      <c r="M5" s="226"/>
      <c r="N5" s="226"/>
      <c r="P5" s="144" t="str">
        <f t="shared" si="3"/>
        <v>322</v>
      </c>
      <c r="Q5" s="144" t="str">
        <f t="shared" si="4"/>
        <v>32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561</v>
      </c>
      <c r="B6" s="149" t="str">
        <f t="shared" si="1"/>
        <v>Europski socijalni fond (ESF)</v>
      </c>
      <c r="C6" s="154">
        <v>3231</v>
      </c>
      <c r="D6" s="149" t="str">
        <f t="shared" si="0"/>
        <v>Usluge telefona, pošte i prijevoza</v>
      </c>
      <c r="E6" s="252" t="s">
        <v>1201</v>
      </c>
      <c r="F6" s="149" t="str">
        <f t="shared" si="2"/>
        <v>Internacionalizacija visokog obrazovanja - razvoj studijskih programa na stranim jezicima u prioritetnim područjima i združenih studija</v>
      </c>
      <c r="G6" s="198">
        <v>56657</v>
      </c>
      <c r="H6" s="198">
        <v>0</v>
      </c>
      <c r="I6" s="198">
        <v>0</v>
      </c>
      <c r="J6" s="226"/>
      <c r="K6" s="225"/>
      <c r="L6" s="225"/>
      <c r="M6" s="226"/>
      <c r="N6" s="226"/>
      <c r="P6" s="144" t="str">
        <f t="shared" si="3"/>
        <v>323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561</v>
      </c>
      <c r="B7" s="149" t="str">
        <f t="shared" si="1"/>
        <v>Europski socijalni fond (ESF)</v>
      </c>
      <c r="C7" s="154">
        <v>3233</v>
      </c>
      <c r="D7" s="149" t="str">
        <f t="shared" si="0"/>
        <v>Usluge promidžbe i informiranja</v>
      </c>
      <c r="E7" s="252" t="s">
        <v>1201</v>
      </c>
      <c r="F7" s="149" t="str">
        <f t="shared" si="2"/>
        <v>Internacionalizacija visokog obrazovanja - razvoj studijskih programa na stranim jezicima u prioritetnim područjima i združenih studija</v>
      </c>
      <c r="G7" s="198">
        <v>22500</v>
      </c>
      <c r="H7" s="198">
        <v>0</v>
      </c>
      <c r="I7" s="198">
        <v>0</v>
      </c>
      <c r="J7" s="226"/>
      <c r="K7" s="225"/>
      <c r="L7" s="225"/>
      <c r="M7" s="226"/>
      <c r="N7" s="226"/>
      <c r="P7" s="144" t="str">
        <f t="shared" si="3"/>
        <v>323</v>
      </c>
      <c r="Q7" s="144" t="str">
        <f t="shared" si="4"/>
        <v>32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561</v>
      </c>
      <c r="B8" s="149" t="str">
        <f t="shared" si="1"/>
        <v>Europski socijalni fond (ESF)</v>
      </c>
      <c r="C8" s="154">
        <v>3237</v>
      </c>
      <c r="D8" s="149" t="str">
        <f t="shared" si="0"/>
        <v>Intelektualne i osobne usluge</v>
      </c>
      <c r="E8" s="252" t="s">
        <v>1201</v>
      </c>
      <c r="F8" s="149" t="str">
        <f t="shared" si="2"/>
        <v>Internacionalizacija visokog obrazovanja - razvoj studijskih programa na stranim jezicima u prioritetnim područjima i združenih studija</v>
      </c>
      <c r="G8" s="198">
        <v>222455</v>
      </c>
      <c r="H8" s="198">
        <v>0</v>
      </c>
      <c r="I8" s="198">
        <v>0</v>
      </c>
      <c r="J8" s="226"/>
      <c r="K8" s="225"/>
      <c r="L8" s="225"/>
      <c r="M8" s="226"/>
      <c r="N8" s="226"/>
      <c r="P8" s="144" t="str">
        <f t="shared" si="3"/>
        <v>323</v>
      </c>
      <c r="Q8" s="144" t="str">
        <f t="shared" si="4"/>
        <v>32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561</v>
      </c>
      <c r="B9" s="149" t="str">
        <f t="shared" si="1"/>
        <v>Europski socijalni fond (ESF)</v>
      </c>
      <c r="C9" s="154">
        <v>3293</v>
      </c>
      <c r="D9" s="149" t="str">
        <f t="shared" si="0"/>
        <v>Reprezentacija</v>
      </c>
      <c r="E9" s="252" t="s">
        <v>1201</v>
      </c>
      <c r="F9" s="149" t="str">
        <f t="shared" si="2"/>
        <v>Internacionalizacija visokog obrazovanja - razvoj studijskih programa na stranim jezicima u prioritetnim područjima i združenih studija</v>
      </c>
      <c r="G9" s="198">
        <v>17500</v>
      </c>
      <c r="H9" s="198">
        <v>0</v>
      </c>
      <c r="I9" s="198">
        <v>0</v>
      </c>
      <c r="J9" s="226"/>
      <c r="K9" s="225"/>
      <c r="L9" s="225"/>
      <c r="M9" s="226"/>
      <c r="N9" s="226"/>
      <c r="P9" s="144" t="str">
        <f t="shared" si="3"/>
        <v>329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561</v>
      </c>
      <c r="B10" s="149" t="str">
        <f t="shared" si="1"/>
        <v>Europski socijalni fond (ESF)</v>
      </c>
      <c r="C10" s="154">
        <v>3241</v>
      </c>
      <c r="D10" s="149" t="str">
        <f t="shared" si="0"/>
        <v>Naknade troškova osobama izvan radnog odnosa</v>
      </c>
      <c r="E10" s="252" t="s">
        <v>1201</v>
      </c>
      <c r="F10" s="149" t="str">
        <f t="shared" si="2"/>
        <v>Internacionalizacija visokog obrazovanja - razvoj studijskih programa na stranim jezicima u prioritetnim područjima i združenih studija</v>
      </c>
      <c r="G10" s="198">
        <v>33000</v>
      </c>
      <c r="H10" s="198">
        <v>0</v>
      </c>
      <c r="I10" s="198">
        <v>0</v>
      </c>
      <c r="J10" s="226"/>
      <c r="K10" s="225"/>
      <c r="L10" s="225"/>
      <c r="M10" s="226"/>
      <c r="N10" s="226"/>
      <c r="P10" s="144" t="str">
        <f t="shared" si="3"/>
        <v>324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561</v>
      </c>
      <c r="B11" s="149" t="str">
        <f t="shared" si="1"/>
        <v>Europski socijalni fond (ESF)</v>
      </c>
      <c r="C11" s="154">
        <v>3693</v>
      </c>
      <c r="D11" s="149" t="str">
        <f t="shared" si="0"/>
        <v>Tekući prijenosi između proračunskih korisnika istog proraču</v>
      </c>
      <c r="E11" s="252" t="s">
        <v>1201</v>
      </c>
      <c r="F11" s="149" t="str">
        <f t="shared" si="2"/>
        <v>Internacionalizacija visokog obrazovanja - razvoj studijskih programa na stranim jezicima u prioritetnim područjima i združenih studija</v>
      </c>
      <c r="G11" s="198">
        <v>377715</v>
      </c>
      <c r="H11" s="198">
        <v>0</v>
      </c>
      <c r="I11" s="198">
        <v>0</v>
      </c>
      <c r="J11" s="226"/>
      <c r="K11" s="225"/>
      <c r="L11" s="225"/>
      <c r="M11" s="226"/>
      <c r="N11" s="226"/>
      <c r="P11" s="144" t="str">
        <f t="shared" si="3"/>
        <v>369</v>
      </c>
      <c r="Q11" s="144" t="str">
        <f t="shared" si="4"/>
        <v>36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98"/>
  <sheetViews>
    <sheetView topLeftCell="A34" workbookViewId="0">
      <selection activeCell="B63" sqref="B63"/>
    </sheetView>
  </sheetViews>
  <sheetFormatPr defaultRowHeight="15"/>
  <cols>
    <col min="1" max="1" width="19.28515625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  <pageSetup paperSize="9" scale="65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172" workbookViewId="0">
      <selection activeCell="A194" sqref="A194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bmaja</cp:lastModifiedBy>
  <cp:lastPrinted>2019-11-13T12:14:59Z</cp:lastPrinted>
  <dcterms:created xsi:type="dcterms:W3CDTF">2018-09-10T07:36:17Z</dcterms:created>
  <dcterms:modified xsi:type="dcterms:W3CDTF">2020-01-08T08:48:24Z</dcterms:modified>
</cp:coreProperties>
</file>